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10\Desktop\Testületi 2024.01.30\"/>
    </mc:Choice>
  </mc:AlternateContent>
  <bookViews>
    <workbookView xWindow="-120" yWindow="-120" windowWidth="29040" windowHeight="15840" activeTab="2"/>
  </bookViews>
  <sheets>
    <sheet name="Tagok3." sheetId="7" r:id="rId1"/>
    <sheet name="Házis.kiadás arányos feloszt." sheetId="5" r:id="rId2"/>
    <sheet name="Jelzőrendsz." sheetId="6" r:id="rId3"/>
  </sheets>
  <definedNames>
    <definedName name="_xlnm.Print_Area" localSheetId="1">'Házis.kiadás arányos feloszt.'!$A$1:$Y$147</definedName>
    <definedName name="_xlnm.Print_Area" localSheetId="2">Jelzőrendsz.!$A$1:$O$29</definedName>
    <definedName name="_xlnm.Print_Area" localSheetId="0">Tagok3.!$A$1:$W$45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5" i="5" l="1"/>
  <c r="N20" i="5"/>
  <c r="H14" i="7"/>
  <c r="J10" i="5"/>
  <c r="D11" i="5" s="1"/>
  <c r="J8" i="5"/>
  <c r="F9" i="5" s="1"/>
  <c r="J9" i="5" s="1"/>
  <c r="O19" i="5"/>
  <c r="O25" i="5" s="1"/>
  <c r="T9" i="5"/>
  <c r="J12" i="5" s="1"/>
  <c r="S9" i="5"/>
  <c r="Q9" i="5"/>
  <c r="T19" i="5" l="1"/>
  <c r="Q19" i="5"/>
  <c r="F11" i="5"/>
  <c r="J11" i="5" s="1"/>
  <c r="J13" i="5" s="1"/>
  <c r="V9" i="5" s="1"/>
  <c r="O20" i="5"/>
  <c r="V8" i="7"/>
  <c r="O9" i="7"/>
  <c r="P11" i="7" s="1"/>
  <c r="T10" i="5" l="1"/>
  <c r="K36" i="7"/>
  <c r="K35" i="7"/>
  <c r="K33" i="7"/>
  <c r="K25" i="7"/>
  <c r="K23" i="7"/>
  <c r="K19" i="7"/>
  <c r="K17" i="7"/>
  <c r="K16" i="7"/>
  <c r="K14" i="7"/>
  <c r="H38" i="7" l="1"/>
  <c r="H35" i="7"/>
  <c r="H30" i="7"/>
  <c r="H28" i="7"/>
  <c r="H26" i="7"/>
  <c r="H24" i="7"/>
  <c r="H23" i="7"/>
  <c r="H19" i="7"/>
  <c r="H18" i="7"/>
  <c r="W9" i="7" l="1"/>
  <c r="N27" i="5"/>
  <c r="Q10" i="5"/>
  <c r="T11" i="5"/>
  <c r="T12" i="5"/>
  <c r="T13" i="5"/>
  <c r="T14" i="5"/>
  <c r="T15" i="5"/>
  <c r="T16" i="5"/>
  <c r="T17" i="5"/>
  <c r="T18" i="5"/>
  <c r="T20" i="5" l="1"/>
  <c r="H16" i="7"/>
  <c r="H39" i="7" s="1"/>
  <c r="O27" i="5"/>
  <c r="M10" i="5" l="1"/>
  <c r="M13" i="5"/>
  <c r="M9" i="5"/>
  <c r="M17" i="5"/>
  <c r="M12" i="5"/>
  <c r="M19" i="5"/>
  <c r="M16" i="5"/>
  <c r="U9" i="5" l="1"/>
  <c r="M20" i="5"/>
  <c r="J72" i="5"/>
  <c r="J62" i="5"/>
  <c r="E114" i="5"/>
  <c r="E112" i="5"/>
  <c r="G112" i="5" s="1"/>
  <c r="E111" i="5"/>
  <c r="G111" i="5" s="1"/>
  <c r="W9" i="5" l="1"/>
  <c r="I14" i="7" s="1"/>
  <c r="H112" i="5"/>
  <c r="I112" i="5"/>
  <c r="J37" i="5"/>
  <c r="X9" i="5" l="1"/>
  <c r="Y6" i="7"/>
  <c r="J31" i="5"/>
  <c r="J21" i="5"/>
  <c r="N28" i="6"/>
  <c r="M25" i="6" l="1"/>
  <c r="G7" i="6"/>
  <c r="G11" i="6"/>
  <c r="G12" i="6"/>
  <c r="B15" i="6"/>
  <c r="G5" i="6" l="1"/>
  <c r="J27" i="5" l="1"/>
  <c r="D28" i="5" s="1"/>
  <c r="S10" i="5"/>
  <c r="U10" i="5" s="1"/>
  <c r="S11" i="5"/>
  <c r="S12" i="5"/>
  <c r="S13" i="5"/>
  <c r="S14" i="5"/>
  <c r="S15" i="5"/>
  <c r="S16" i="5"/>
  <c r="S17" i="5"/>
  <c r="S18" i="5"/>
  <c r="S19" i="5"/>
  <c r="W11" i="7"/>
  <c r="N9" i="7"/>
  <c r="V7" i="7"/>
  <c r="C9" i="7"/>
  <c r="J15" i="6"/>
  <c r="J9" i="7"/>
  <c r="L11" i="7" s="1"/>
  <c r="J102" i="5"/>
  <c r="J74" i="5"/>
  <c r="J64" i="5"/>
  <c r="V10" i="7"/>
  <c r="V6" i="7"/>
  <c r="E117" i="5"/>
  <c r="G117" i="5" s="1"/>
  <c r="H117" i="5" s="1"/>
  <c r="I117" i="5" s="1"/>
  <c r="H111" i="5"/>
  <c r="I111" i="5" s="1"/>
  <c r="J30" i="5" s="1"/>
  <c r="E113" i="5"/>
  <c r="G113" i="5" s="1"/>
  <c r="G114" i="5"/>
  <c r="E115" i="5"/>
  <c r="G115" i="5" s="1"/>
  <c r="E116" i="5"/>
  <c r="G116" i="5" s="1"/>
  <c r="P23" i="5"/>
  <c r="J101" i="5"/>
  <c r="J99" i="5"/>
  <c r="F100" i="5" s="1"/>
  <c r="J97" i="5"/>
  <c r="F98" i="5" s="1"/>
  <c r="J98" i="5" s="1"/>
  <c r="J79" i="5"/>
  <c r="F80" i="5" s="1"/>
  <c r="G119" i="5" l="1"/>
  <c r="S20" i="5"/>
  <c r="H113" i="5"/>
  <c r="I113" i="5" s="1"/>
  <c r="J63" i="5" s="1"/>
  <c r="H116" i="5"/>
  <c r="I116" i="5" s="1"/>
  <c r="J103" i="5" s="1"/>
  <c r="H114" i="5"/>
  <c r="I114" i="5" s="1"/>
  <c r="J73" i="5" s="1"/>
  <c r="E118" i="5"/>
  <c r="H115" i="5"/>
  <c r="I115" i="5" s="1"/>
  <c r="J93" i="5" s="1"/>
  <c r="D100" i="5"/>
  <c r="J100" i="5" s="1"/>
  <c r="M9" i="7"/>
  <c r="N11" i="7" s="1"/>
  <c r="N16" i="7" s="1"/>
  <c r="H9" i="7"/>
  <c r="I11" i="7" s="1"/>
  <c r="J51" i="5"/>
  <c r="D52" i="5" s="1"/>
  <c r="J49" i="5"/>
  <c r="J91" i="5"/>
  <c r="J89" i="5"/>
  <c r="D90" i="5" s="1"/>
  <c r="J87" i="5"/>
  <c r="J81" i="5"/>
  <c r="F82" i="5" s="1"/>
  <c r="J80" i="5"/>
  <c r="J70" i="5"/>
  <c r="F71" i="5" s="1"/>
  <c r="J68" i="5"/>
  <c r="J60" i="5"/>
  <c r="J58" i="5"/>
  <c r="F59" i="5" s="1"/>
  <c r="J29" i="5"/>
  <c r="J25" i="5"/>
  <c r="J16" i="5"/>
  <c r="F17" i="5" s="1"/>
  <c r="K5" i="6"/>
  <c r="K6" i="6"/>
  <c r="K8" i="6"/>
  <c r="K9" i="6"/>
  <c r="K10" i="6"/>
  <c r="K11" i="6"/>
  <c r="K12" i="6"/>
  <c r="K14" i="6"/>
  <c r="K4" i="6"/>
  <c r="G10" i="6"/>
  <c r="T9" i="7"/>
  <c r="T11" i="7" s="1"/>
  <c r="S9" i="7"/>
  <c r="S11" i="7" s="1"/>
  <c r="U11" i="7" s="1"/>
  <c r="Q9" i="7"/>
  <c r="E9" i="7"/>
  <c r="F11" i="7" s="1"/>
  <c r="V5" i="7"/>
  <c r="N21" i="6"/>
  <c r="N23" i="6" s="1"/>
  <c r="L25" i="6" s="1"/>
  <c r="N25" i="6" s="1"/>
  <c r="G6" i="6"/>
  <c r="G8" i="6"/>
  <c r="J41" i="5"/>
  <c r="F42" i="5" s="1"/>
  <c r="J39" i="5"/>
  <c r="F40" i="5" s="1"/>
  <c r="J40" i="5" s="1"/>
  <c r="J104" i="5" l="1"/>
  <c r="V18" i="5" s="1"/>
  <c r="F16" i="7"/>
  <c r="F18" i="7"/>
  <c r="L10" i="6"/>
  <c r="M10" i="6" s="1"/>
  <c r="L6" i="6"/>
  <c r="M6" i="6" s="1"/>
  <c r="L14" i="6"/>
  <c r="M14" i="6" s="1"/>
  <c r="L9" i="6"/>
  <c r="M9" i="6" s="1"/>
  <c r="L4" i="6"/>
  <c r="M4" i="6" s="1"/>
  <c r="L12" i="6"/>
  <c r="M12" i="6" s="1"/>
  <c r="L8" i="6"/>
  <c r="M8" i="6" s="1"/>
  <c r="L11" i="6"/>
  <c r="M11" i="6" s="1"/>
  <c r="L5" i="6"/>
  <c r="M5" i="6" s="1"/>
  <c r="K21" i="6"/>
  <c r="K17" i="6"/>
  <c r="P16" i="7"/>
  <c r="P39" i="7" s="1"/>
  <c r="F69" i="5"/>
  <c r="J69" i="5" s="1"/>
  <c r="J59" i="5"/>
  <c r="F50" i="5"/>
  <c r="J50" i="5" s="1"/>
  <c r="F26" i="5"/>
  <c r="J26" i="5" s="1"/>
  <c r="J17" i="5"/>
  <c r="F88" i="5"/>
  <c r="J88" i="5" s="1"/>
  <c r="D11" i="7"/>
  <c r="F61" i="5"/>
  <c r="D61" i="5"/>
  <c r="U19" i="5"/>
  <c r="J53" i="5"/>
  <c r="J92" i="5"/>
  <c r="J83" i="5"/>
  <c r="F52" i="5"/>
  <c r="J52" i="5" s="1"/>
  <c r="F90" i="5"/>
  <c r="J90" i="5" s="1"/>
  <c r="D71" i="5"/>
  <c r="J71" i="5" s="1"/>
  <c r="D82" i="5"/>
  <c r="J82" i="5" s="1"/>
  <c r="F28" i="5"/>
  <c r="J28" i="5" s="1"/>
  <c r="J42" i="5"/>
  <c r="J18" i="5"/>
  <c r="D19" i="5" s="1"/>
  <c r="K39" i="7"/>
  <c r="B39" i="7"/>
  <c r="B42" i="7" s="1"/>
  <c r="U9" i="7"/>
  <c r="R9" i="7"/>
  <c r="R11" i="7"/>
  <c r="N39" i="7"/>
  <c r="L9" i="7"/>
  <c r="K9" i="7"/>
  <c r="I9" i="7"/>
  <c r="G9" i="7"/>
  <c r="F9" i="7"/>
  <c r="D9" i="7"/>
  <c r="V4" i="7"/>
  <c r="J75" i="5" l="1"/>
  <c r="V15" i="5" s="1"/>
  <c r="V11" i="7"/>
  <c r="D16" i="7"/>
  <c r="D17" i="7"/>
  <c r="D14" i="7"/>
  <c r="M15" i="6"/>
  <c r="U17" i="7"/>
  <c r="F39" i="7"/>
  <c r="V9" i="7"/>
  <c r="R16" i="7"/>
  <c r="R39" i="7" s="1"/>
  <c r="J94" i="5"/>
  <c r="V17" i="5" s="1"/>
  <c r="J84" i="5"/>
  <c r="V16" i="5" s="1"/>
  <c r="J32" i="5"/>
  <c r="V11" i="5" s="1"/>
  <c r="J54" i="5"/>
  <c r="V13" i="5" s="1"/>
  <c r="J61" i="5"/>
  <c r="J65" i="5" s="1"/>
  <c r="V14" i="5" s="1"/>
  <c r="Q15" i="5"/>
  <c r="U15" i="5" s="1"/>
  <c r="Q13" i="5"/>
  <c r="U13" i="5" s="1"/>
  <c r="Q18" i="5"/>
  <c r="U18" i="5" s="1"/>
  <c r="F19" i="5"/>
  <c r="J19" i="5" s="1"/>
  <c r="T25" i="5" l="1"/>
  <c r="J43" i="5"/>
  <c r="L95" i="5" s="1"/>
  <c r="D33" i="7"/>
  <c r="D20" i="7"/>
  <c r="D29" i="7"/>
  <c r="D35" i="7"/>
  <c r="D22" i="7"/>
  <c r="D23" i="7"/>
  <c r="D37" i="7"/>
  <c r="D27" i="7"/>
  <c r="D18" i="7"/>
  <c r="D25" i="7"/>
  <c r="D26" i="7"/>
  <c r="D15" i="7"/>
  <c r="D31" i="7"/>
  <c r="D21" i="7"/>
  <c r="D36" i="7"/>
  <c r="D30" i="7"/>
  <c r="D34" i="7"/>
  <c r="D28" i="7"/>
  <c r="W13" i="5"/>
  <c r="U18" i="7"/>
  <c r="U22" i="7"/>
  <c r="U26" i="7"/>
  <c r="U30" i="7"/>
  <c r="U34" i="7"/>
  <c r="U14" i="7"/>
  <c r="U15" i="7"/>
  <c r="U21" i="7"/>
  <c r="U25" i="7"/>
  <c r="U29" i="7"/>
  <c r="U33" i="7"/>
  <c r="U37" i="7"/>
  <c r="U16" i="7"/>
  <c r="U20" i="7"/>
  <c r="U24" i="7"/>
  <c r="U28" i="7"/>
  <c r="U32" i="7"/>
  <c r="V32" i="7" s="1"/>
  <c r="U36" i="7"/>
  <c r="U19" i="7"/>
  <c r="U23" i="7"/>
  <c r="U27" i="7"/>
  <c r="U31" i="7"/>
  <c r="U35" i="7"/>
  <c r="U38" i="7"/>
  <c r="J44" i="5" l="1"/>
  <c r="V12" i="5" s="1"/>
  <c r="V15" i="7"/>
  <c r="V20" i="7"/>
  <c r="U39" i="7"/>
  <c r="V29" i="7"/>
  <c r="X13" i="5"/>
  <c r="I26" i="7"/>
  <c r="V26" i="7" s="1"/>
  <c r="W26" i="7" s="1"/>
  <c r="V34" i="7"/>
  <c r="V31" i="7"/>
  <c r="V27" i="7"/>
  <c r="V22" i="7"/>
  <c r="D39" i="7"/>
  <c r="V21" i="7"/>
  <c r="V37" i="7"/>
  <c r="K15" i="6" l="1"/>
  <c r="G9" i="6"/>
  <c r="G4" i="6"/>
  <c r="Q11" i="5"/>
  <c r="Q12" i="5"/>
  <c r="U12" i="5" s="1"/>
  <c r="Q14" i="5"/>
  <c r="U14" i="5" s="1"/>
  <c r="Q16" i="5"/>
  <c r="U16" i="5" s="1"/>
  <c r="U11" i="5" l="1"/>
  <c r="G15" i="6"/>
  <c r="G22" i="6"/>
  <c r="G20" i="6" s="1"/>
  <c r="I8" i="6"/>
  <c r="I5" i="6"/>
  <c r="I6" i="6"/>
  <c r="I4" i="6"/>
  <c r="N4" i="6" s="1"/>
  <c r="I11" i="6"/>
  <c r="N11" i="6" s="1"/>
  <c r="L35" i="7" s="1"/>
  <c r="I12" i="6"/>
  <c r="N12" i="6" s="1"/>
  <c r="L36" i="7" s="1"/>
  <c r="I10" i="6"/>
  <c r="I14" i="6"/>
  <c r="I9" i="6"/>
  <c r="N9" i="6" s="1"/>
  <c r="L25" i="7" s="1"/>
  <c r="W12" i="5"/>
  <c r="W16" i="5"/>
  <c r="Q17" i="5"/>
  <c r="U17" i="5" s="1"/>
  <c r="Q20" i="5" l="1"/>
  <c r="U22" i="5" s="1"/>
  <c r="U20" i="5"/>
  <c r="N14" i="6"/>
  <c r="N5" i="6"/>
  <c r="O5" i="6" s="1"/>
  <c r="O11" i="6"/>
  <c r="I15" i="6"/>
  <c r="N8" i="6"/>
  <c r="L23" i="7" s="1"/>
  <c r="N10" i="6"/>
  <c r="L33" i="7" s="1"/>
  <c r="N6" i="6"/>
  <c r="L19" i="7" s="1"/>
  <c r="I20" i="6"/>
  <c r="O4" i="6"/>
  <c r="X16" i="5"/>
  <c r="I30" i="7"/>
  <c r="X12" i="5"/>
  <c r="I23" i="7"/>
  <c r="O9" i="6"/>
  <c r="V25" i="7" s="1"/>
  <c r="W25" i="7" s="1"/>
  <c r="O12" i="6"/>
  <c r="V36" i="7" s="1"/>
  <c r="W36" i="7" s="1"/>
  <c r="L17" i="7" l="1"/>
  <c r="V17" i="7" s="1"/>
  <c r="W17" i="7" s="1"/>
  <c r="N15" i="6"/>
  <c r="O17" i="6" s="1"/>
  <c r="O14" i="6"/>
  <c r="L16" i="7"/>
  <c r="Q25" i="5"/>
  <c r="O10" i="6"/>
  <c r="V33" i="7" s="1"/>
  <c r="W33" i="7" s="1"/>
  <c r="O6" i="6"/>
  <c r="L14" i="7"/>
  <c r="V14" i="7" s="1"/>
  <c r="W14" i="7" s="1"/>
  <c r="O8" i="6"/>
  <c r="V30" i="7"/>
  <c r="W30" i="7" s="1"/>
  <c r="V23" i="7"/>
  <c r="W23" i="7" s="1"/>
  <c r="L39" i="7" l="1"/>
  <c r="O15" i="6"/>
  <c r="W11" i="5"/>
  <c r="W15" i="5"/>
  <c r="H119" i="5"/>
  <c r="X15" i="5" l="1"/>
  <c r="I28" i="7"/>
  <c r="X11" i="5"/>
  <c r="I19" i="7"/>
  <c r="W17" i="5"/>
  <c r="W18" i="5"/>
  <c r="V28" i="7" l="1"/>
  <c r="W28" i="7" s="1"/>
  <c r="V19" i="7"/>
  <c r="W19" i="7" s="1"/>
  <c r="X18" i="5"/>
  <c r="I38" i="7"/>
  <c r="X17" i="5"/>
  <c r="I35" i="7"/>
  <c r="J20" i="5"/>
  <c r="V35" i="7" l="1"/>
  <c r="W35" i="7" s="1"/>
  <c r="J22" i="5"/>
  <c r="V10" i="5" s="1"/>
  <c r="V19" i="5" s="1"/>
  <c r="V38" i="7"/>
  <c r="W38" i="7" s="1"/>
  <c r="V20" i="5" l="1"/>
  <c r="W23" i="5" s="1"/>
  <c r="W19" i="5"/>
  <c r="W10" i="5"/>
  <c r="I18" i="7" l="1"/>
  <c r="X10" i="5"/>
  <c r="I16" i="7"/>
  <c r="W14" i="5"/>
  <c r="I24" i="7" s="1"/>
  <c r="W20" i="5" l="1"/>
  <c r="I39" i="7"/>
  <c r="X19" i="5"/>
  <c r="X20" i="5" s="1"/>
  <c r="V16" i="7"/>
  <c r="X14" i="5"/>
  <c r="V18" i="7"/>
  <c r="W18" i="7" s="1"/>
  <c r="V24" i="7" l="1"/>
  <c r="W24" i="7" s="1"/>
  <c r="V39" i="7"/>
  <c r="W39" i="7" l="1"/>
</calcChain>
</file>

<file path=xl/comments1.xml><?xml version="1.0" encoding="utf-8"?>
<comments xmlns="http://schemas.openxmlformats.org/spreadsheetml/2006/main">
  <authors>
    <author>Palkó Roland</author>
  </authors>
  <commentLis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1.3.4 pontok összesen</t>
        </r>
      </text>
    </comment>
    <comment ref="O6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1.3.2.6.1.+1.3.2.8.1. jogcímek
</t>
        </r>
      </text>
    </comment>
  </commentList>
</comments>
</file>

<file path=xl/comments2.xml><?xml version="1.0" encoding="utf-8"?>
<comments xmlns="http://schemas.openxmlformats.org/spreadsheetml/2006/main">
  <authors>
    <author>Palkó Roland</author>
  </authors>
  <commentList>
    <comment ref="T7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Képzéshez igényelt NAV szocho kedvezmény ide felosztott része</t>
        </r>
      </text>
    </comment>
  </commentList>
</comments>
</file>

<file path=xl/comments3.xml><?xml version="1.0" encoding="utf-8"?>
<comments xmlns="http://schemas.openxmlformats.org/spreadsheetml/2006/main">
  <authors>
    <author>Palkó Roland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COFOG.os megosztás jelzőrendszerre jutó kiadásai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COFOG-os felosztásból a jelzőrendszerre jutó ellátási díj</t>
        </r>
      </text>
    </comment>
  </commentList>
</comments>
</file>

<file path=xl/sharedStrings.xml><?xml version="1.0" encoding="utf-8"?>
<sst xmlns="http://schemas.openxmlformats.org/spreadsheetml/2006/main" count="462" uniqueCount="157">
  <si>
    <t>Feladatok</t>
  </si>
  <si>
    <t>Aparhant</t>
  </si>
  <si>
    <t>Bátaapáti</t>
  </si>
  <si>
    <t>Bonyhád</t>
  </si>
  <si>
    <t>Bonyhádvarasd</t>
  </si>
  <si>
    <t>Cikó</t>
  </si>
  <si>
    <t>Felsőnána</t>
  </si>
  <si>
    <t>Grábóc</t>
  </si>
  <si>
    <t>Györe</t>
  </si>
  <si>
    <t>Izmény</t>
  </si>
  <si>
    <t>Kakasd</t>
  </si>
  <si>
    <t>Kéty</t>
  </si>
  <si>
    <t>Kisdorog</t>
  </si>
  <si>
    <t>Kismányok</t>
  </si>
  <si>
    <t>Kisvejke</t>
  </si>
  <si>
    <t>Lengyel</t>
  </si>
  <si>
    <t>Mórágy</t>
  </si>
  <si>
    <t>Mőcsény</t>
  </si>
  <si>
    <t>Mucsfa</t>
  </si>
  <si>
    <t>Murga</t>
  </si>
  <si>
    <t>Nagymányok</t>
  </si>
  <si>
    <t>Nagyvejke</t>
  </si>
  <si>
    <t>Tevel</t>
  </si>
  <si>
    <t>Váralja</t>
  </si>
  <si>
    <t>Závod</t>
  </si>
  <si>
    <t>Zomba</t>
  </si>
  <si>
    <t>Összesen</t>
  </si>
  <si>
    <t xml:space="preserve">Támogató szolgálat. </t>
  </si>
  <si>
    <t>Hozzá-járulás összege</t>
  </si>
  <si>
    <t xml:space="preserve">Idősek Otthona </t>
  </si>
  <si>
    <t>Házi segítség-nyújtás</t>
  </si>
  <si>
    <t>Házi segítség-nyújtás - személyi gondozás- társulás általi feladat-ellátás</t>
  </si>
  <si>
    <t>Hozzá-járulás a házi segítség-nyújtáshoz összesen</t>
  </si>
  <si>
    <t xml:space="preserve">Jelzőrend-szeres házi segítség-nyújtás </t>
  </si>
  <si>
    <t>Ellátot-tak száma</t>
  </si>
  <si>
    <t xml:space="preserve">Tanya-gondnoki szolgál-tatás </t>
  </si>
  <si>
    <t>Család és gyermek-jóléti szolgálat</t>
  </si>
  <si>
    <t>Család és gyermek-jóléti központ</t>
  </si>
  <si>
    <t>ÖSSZESEN</t>
  </si>
  <si>
    <t>Saját bevétel</t>
  </si>
  <si>
    <t>Állami támogatás</t>
  </si>
  <si>
    <t>Átvett pe.</t>
  </si>
  <si>
    <t>Bevételek összeen</t>
  </si>
  <si>
    <t>Kiadások</t>
  </si>
  <si>
    <t>x</t>
  </si>
  <si>
    <t>–</t>
  </si>
  <si>
    <t>Kiadások számítása</t>
  </si>
  <si>
    <t>Bevételek és kiadások összesítése</t>
  </si>
  <si>
    <t>Cikó:</t>
  </si>
  <si>
    <t>1 fő 4 órás közalkalmazott:</t>
  </si>
  <si>
    <t>Település megnevezése</t>
  </si>
  <si>
    <t>Hozzájárulás összegeFt-ban</t>
  </si>
  <si>
    <t xml:space="preserve">Ezer Ft-ban </t>
  </si>
  <si>
    <t>Étkezési hozzájárulás: 5.000 Ft/hó</t>
  </si>
  <si>
    <t>Járulékteher.</t>
  </si>
  <si>
    <t>Kiadás összesen:</t>
  </si>
  <si>
    <t>Lengyel:</t>
  </si>
  <si>
    <t>Öszesen:</t>
  </si>
  <si>
    <t>Mőcsény:</t>
  </si>
  <si>
    <t>Járulékteher</t>
  </si>
  <si>
    <t xml:space="preserve">Tevel: </t>
  </si>
  <si>
    <t>Vidék összesen:</t>
  </si>
  <si>
    <t>Feladatellátás összesen:</t>
  </si>
  <si>
    <t>12. melléklet</t>
  </si>
  <si>
    <t>Foglalkoztatottak száma</t>
  </si>
  <si>
    <t>Havi díj Ft/fő</t>
  </si>
  <si>
    <t>Hónapok száma</t>
  </si>
  <si>
    <t>Éves kiadás</t>
  </si>
  <si>
    <t>Bevételi terv</t>
  </si>
  <si>
    <t>Állami támogatás Ft/mutató</t>
  </si>
  <si>
    <t>Állami támogatás összege</t>
  </si>
  <si>
    <t>Hozzájárulás összege</t>
  </si>
  <si>
    <t>2 fő havi 10.000.- Ft</t>
  </si>
  <si>
    <t>Összesen:</t>
  </si>
  <si>
    <t>Mutató-szám</t>
  </si>
  <si>
    <t>1 fő 8 órás közalkalmazott:</t>
  </si>
  <si>
    <t>Kerekítve</t>
  </si>
  <si>
    <t xml:space="preserve">Szociális étkeztetés </t>
  </si>
  <si>
    <t>Nappali ellátás</t>
  </si>
  <si>
    <t>Kihelyezett készülékek száma</t>
  </si>
  <si>
    <t>Étkezési hozzájárulás: 5.000 Ft/hó/2</t>
  </si>
  <si>
    <t>Ellátott létszám</t>
  </si>
  <si>
    <t>Állami támogatás számítása</t>
  </si>
  <si>
    <t>Alaptámogatás</t>
  </si>
  <si>
    <t>Készülékek után Ft/készülék</t>
  </si>
  <si>
    <t>1 készülék után járó támogatás átlaga</t>
  </si>
  <si>
    <t>Előző évi maradvány</t>
  </si>
  <si>
    <t>Saját bevétel átlaga:</t>
  </si>
  <si>
    <t>Kerekített fizetési köt.</t>
  </si>
  <si>
    <t xml:space="preserve">Tevel </t>
  </si>
  <si>
    <t xml:space="preserve">   készülékek díja</t>
  </si>
  <si>
    <t xml:space="preserve">Közlekedési költségtérítés </t>
  </si>
  <si>
    <t xml:space="preserve">52 héten heti 4 óra = 52*4= 208óra. Havi 176 óra alapján </t>
  </si>
  <si>
    <t xml:space="preserve">208/176=1,18 hó bére </t>
  </si>
  <si>
    <t>Járulék: 13 %</t>
  </si>
  <si>
    <t>1 fő részére (csak munkabér)</t>
  </si>
  <si>
    <t>foglalkoztatás</t>
  </si>
  <si>
    <t>4 óra</t>
  </si>
  <si>
    <t>8 óra</t>
  </si>
  <si>
    <t>Helyettesítés miatti bér és járulék</t>
  </si>
  <si>
    <t>1 főre járó állami támogatás kv.tv.</t>
  </si>
  <si>
    <t>Állami támogatás kv.tv.</t>
  </si>
  <si>
    <t>Bevételek összesen</t>
  </si>
  <si>
    <t>Megjegyzés:</t>
  </si>
  <si>
    <t>negatív előjel: fizetendő összeg</t>
  </si>
  <si>
    <t>pozitív előjel: bevételi többlet</t>
  </si>
  <si>
    <t xml:space="preserve">negatív szám: </t>
  </si>
  <si>
    <t>fizetendő összeg</t>
  </si>
  <si>
    <t>pozitív szám:</t>
  </si>
  <si>
    <t>bevételi többlet</t>
  </si>
  <si>
    <t xml:space="preserve">Megjegyzés: </t>
  </si>
  <si>
    <t>mínusz előjel: fizetési kötelezettség</t>
  </si>
  <si>
    <t>előjel nélküli: bevételi többlet</t>
  </si>
  <si>
    <t>Járulék:   12 hónapra 13 %</t>
  </si>
  <si>
    <t>Járulék:   12 hónap 13 %</t>
  </si>
  <si>
    <t>1 fő 8 órás közalkalmazott</t>
  </si>
  <si>
    <t>Közlekedési költségtérítés</t>
  </si>
  <si>
    <t>Heti egy alkalom kijárás 2 dolgozóval, heti 3 órában</t>
  </si>
  <si>
    <t xml:space="preserve">156/176=,8864 hó bére </t>
  </si>
  <si>
    <t>Kiadás összesen</t>
  </si>
  <si>
    <t>3 fő,együtt havi 20.000.- Ft</t>
  </si>
  <si>
    <t>Havi munkanap</t>
  </si>
  <si>
    <t>Bérköltség</t>
  </si>
  <si>
    <t>Számított bérköltség</t>
  </si>
  <si>
    <t>Szociális hozzájárulási adó</t>
  </si>
  <si>
    <t>Összes költség</t>
  </si>
  <si>
    <t>Különbözet</t>
  </si>
  <si>
    <t>Átvett pénzeszköz</t>
  </si>
  <si>
    <t>Képzéshez kapcsolódó kiadás</t>
  </si>
  <si>
    <t>Képzéshez kapcsoló kiadás</t>
  </si>
  <si>
    <t>Képzéshez kapcsoódó kiadás</t>
  </si>
  <si>
    <t>Ellenőrző számok</t>
  </si>
  <si>
    <t>Kiegészítő állami támogatás</t>
  </si>
  <si>
    <t xml:space="preserve">Kiegészítő állami tám. Ft/mutató </t>
  </si>
  <si>
    <t>Kiegészítő állami támogatás összege</t>
  </si>
  <si>
    <t>TAGOK 3. 2024.</t>
  </si>
  <si>
    <t>Lakosság-szám 2023.01.01.     KEKKH</t>
  </si>
  <si>
    <t>Jelzőrendszeres házi segítségnyújtás bevételei és kiadásai 2024. év</t>
  </si>
  <si>
    <t xml:space="preserve">                       </t>
  </si>
  <si>
    <t xml:space="preserve">Házi segítségnyújtás bevételei és kiadásai 2024. </t>
  </si>
  <si>
    <t>Bér  1 hóra 163.000 Ft, 11 hóra 163.000 Ft</t>
  </si>
  <si>
    <t>Bér 1 hóra 326.000 Ft, 11 hóra 326.000 Ft</t>
  </si>
  <si>
    <t>Bér 1 hóra 348.000 Ft/, 11 hóra 351.968 Ft</t>
  </si>
  <si>
    <t>Bér 1 hóra 326.000 Ft, 11 hóra 331.968 Ft</t>
  </si>
  <si>
    <t>1 fő látja el, heti 9 órában</t>
  </si>
  <si>
    <t>52 hét x 9 óra = 468 óra</t>
  </si>
  <si>
    <t xml:space="preserve">468 óra /176 óra alapján 2,66 havi bér </t>
  </si>
  <si>
    <t>Bér 1 hóra 356.000 Ft, 11 hóra 331.968</t>
  </si>
  <si>
    <t xml:space="preserve">52 héten heti 3 óra = 52*3= 156 óra. Havi 176 óra alapján </t>
  </si>
  <si>
    <t>Bér 1 hóra 356.000 Ft, 11 hóra 331.968 Ft</t>
  </si>
  <si>
    <t xml:space="preserve">300 Ft/km 12 hónapra 300 x 9,3 km x 2 út x 52 hét </t>
  </si>
  <si>
    <t>Szabadnapok száma</t>
  </si>
  <si>
    <t>Munkanapok száma 2024 évben:</t>
  </si>
  <si>
    <t>Kalkulált létszám</t>
  </si>
  <si>
    <t>-</t>
  </si>
  <si>
    <t xml:space="preserve">52 héten heti 4 óra = 52*4= 208 óra. Havi 176 óra alapján </t>
  </si>
  <si>
    <t>Létszám hónapra átszámítva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</si>
</sst>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\ _F_t_-;\-* #,##0.00\ _F_t_-;_-* &quot;-&quot;??\ _F_t_-;_-@_-"/>
    <numFmt numFmtId="164" formatCode="_-* #,##0.00_-;\-* #,##0.00_-;_-* &quot;-&quot;??_-;_-@_-"/>
    <numFmt numFmtId="165" formatCode="0.0000"/>
    <numFmt numFmtId="166" formatCode="_-* #,##0\ _F_t_-;\-* #,##0\ _F_t_-;_-* &quot;-&quot;??\ _F_t_-;_-@_-"/>
    <numFmt numFmtId="167" formatCode="_-* #,##0.000\ _F_t_-;\-* #,##0.000\ _F_t_-;_-* &quot;-&quot;??\ _F_t_-;_-@_-"/>
    <numFmt numFmtId="168" formatCode="_-* #,##0.0\ _F_t_-;\-* #,##0.0\ _F_t_-;_-* &quot;-&quot;??\ _F_t_-;_-@_-"/>
    <numFmt numFmtId="169" formatCode="0.0%"/>
    <numFmt numFmtId="170" formatCode="#,##0.000"/>
    <numFmt numFmtId="171" formatCode="#,##0.0"/>
    <numFmt numFmtId="172" formatCode="0.000"/>
    <numFmt numFmtId="173" formatCode="_-* #,##0_-;\-* #,##0_-;_-* &quot;-&quot;??_-;_-@_-"/>
    <numFmt numFmtId="174" formatCode="#,##0.00_ ;\-#,##0.00\ "/>
    <numFmt numFmtId="175" formatCode="#,##0_ ;\-#,##0\ 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1"/>
      <name val="Bookman Old Style"/>
      <family val="1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 CE"/>
      <charset val="238"/>
    </font>
    <font>
      <sz val="10"/>
      <color theme="1"/>
      <name val="Arial"/>
      <family val="2"/>
      <charset val="238"/>
    </font>
    <font>
      <sz val="11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2"/>
      <color theme="1"/>
      <name val="Bookman Old Style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3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75585192419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0">
    <xf numFmtId="0" fontId="0" fillId="0" borderId="0" xfId="0"/>
    <xf numFmtId="0" fontId="0" fillId="0" borderId="3" xfId="0" applyBorder="1"/>
    <xf numFmtId="0" fontId="0" fillId="0" borderId="11" xfId="0" applyBorder="1"/>
    <xf numFmtId="0" fontId="9" fillId="0" borderId="11" xfId="0" applyFont="1" applyBorder="1"/>
    <xf numFmtId="0" fontId="8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6" fontId="0" fillId="4" borderId="3" xfId="2" applyNumberFormat="1" applyFont="1" applyFill="1" applyBorder="1"/>
    <xf numFmtId="0" fontId="5" fillId="0" borderId="1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6" fontId="5" fillId="3" borderId="3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66" fontId="5" fillId="5" borderId="3" xfId="2" applyNumberFormat="1" applyFont="1" applyFill="1" applyBorder="1" applyAlignment="1">
      <alignment horizontal="center"/>
    </xf>
    <xf numFmtId="0" fontId="0" fillId="6" borderId="0" xfId="0" applyFill="1"/>
    <xf numFmtId="0" fontId="5" fillId="0" borderId="0" xfId="0" applyFont="1" applyAlignment="1">
      <alignment horizontal="left" vertical="center"/>
    </xf>
    <xf numFmtId="0" fontId="17" fillId="0" borderId="0" xfId="0" applyFont="1"/>
    <xf numFmtId="1" fontId="0" fillId="0" borderId="0" xfId="0" applyNumberFormat="1"/>
    <xf numFmtId="0" fontId="8" fillId="2" borderId="0" xfId="0" applyFont="1" applyFill="1" applyAlignment="1">
      <alignment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/>
    <xf numFmtId="165" fontId="0" fillId="0" borderId="0" xfId="0" applyNumberFormat="1"/>
    <xf numFmtId="0" fontId="9" fillId="0" borderId="0" xfId="0" applyFont="1"/>
    <xf numFmtId="166" fontId="0" fillId="0" borderId="0" xfId="2" applyNumberFormat="1" applyFont="1"/>
    <xf numFmtId="166" fontId="0" fillId="0" borderId="3" xfId="2" applyNumberFormat="1" applyFont="1" applyBorder="1"/>
    <xf numFmtId="166" fontId="10" fillId="0" borderId="0" xfId="2" applyNumberFormat="1" applyFont="1"/>
    <xf numFmtId="166" fontId="0" fillId="0" borderId="0" xfId="0" applyNumberFormat="1"/>
    <xf numFmtId="0" fontId="0" fillId="4" borderId="3" xfId="0" applyFill="1" applyBorder="1"/>
    <xf numFmtId="166" fontId="0" fillId="0" borderId="3" xfId="2" applyNumberFormat="1" applyFont="1" applyFill="1" applyBorder="1"/>
    <xf numFmtId="166" fontId="0" fillId="0" borderId="0" xfId="2" applyNumberFormat="1" applyFont="1" applyFill="1"/>
    <xf numFmtId="166" fontId="10" fillId="0" borderId="0" xfId="2" applyNumberFormat="1" applyFont="1" applyFill="1"/>
    <xf numFmtId="0" fontId="2" fillId="0" borderId="0" xfId="0" applyFont="1"/>
    <xf numFmtId="166" fontId="9" fillId="0" borderId="0" xfId="2" applyNumberFormat="1" applyFont="1"/>
    <xf numFmtId="168" fontId="0" fillId="0" borderId="0" xfId="0" applyNumberFormat="1"/>
    <xf numFmtId="167" fontId="0" fillId="0" borderId="0" xfId="0" applyNumberFormat="1"/>
    <xf numFmtId="0" fontId="11" fillId="5" borderId="3" xfId="0" applyFont="1" applyFill="1" applyBorder="1" applyAlignment="1">
      <alignment horizontal="center" vertical="center"/>
    </xf>
    <xf numFmtId="166" fontId="5" fillId="5" borderId="3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6" fontId="16" fillId="6" borderId="0" xfId="0" applyNumberFormat="1" applyFont="1" applyFill="1"/>
    <xf numFmtId="0" fontId="18" fillId="0" borderId="0" xfId="0" applyFont="1"/>
    <xf numFmtId="0" fontId="18" fillId="0" borderId="0" xfId="0" applyFont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3" fontId="0" fillId="0" borderId="0" xfId="0" applyNumberFormat="1"/>
    <xf numFmtId="3" fontId="4" fillId="5" borderId="3" xfId="2" applyNumberFormat="1" applyFont="1" applyFill="1" applyBorder="1" applyAlignment="1">
      <alignment horizontal="center"/>
    </xf>
    <xf numFmtId="3" fontId="3" fillId="5" borderId="3" xfId="2" applyNumberFormat="1" applyFont="1" applyFill="1" applyBorder="1" applyAlignment="1">
      <alignment horizontal="center"/>
    </xf>
    <xf numFmtId="3" fontId="3" fillId="5" borderId="3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19" fillId="4" borderId="4" xfId="0" applyFont="1" applyFill="1" applyBorder="1"/>
    <xf numFmtId="0" fontId="19" fillId="4" borderId="2" xfId="0" applyFont="1" applyFill="1" applyBorder="1"/>
    <xf numFmtId="3" fontId="19" fillId="4" borderId="2" xfId="0" applyNumberFormat="1" applyFont="1" applyFill="1" applyBorder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168" fontId="5" fillId="3" borderId="3" xfId="0" applyNumberFormat="1" applyFont="1" applyFill="1" applyBorder="1" applyAlignment="1">
      <alignment horizontal="right" vertical="center"/>
    </xf>
    <xf numFmtId="168" fontId="11" fillId="5" borderId="3" xfId="0" applyNumberFormat="1" applyFont="1" applyFill="1" applyBorder="1" applyAlignment="1">
      <alignment horizontal="right" vertical="center"/>
    </xf>
    <xf numFmtId="168" fontId="5" fillId="3" borderId="3" xfId="0" applyNumberFormat="1" applyFont="1" applyFill="1" applyBorder="1" applyAlignment="1">
      <alignment horizontal="right" vertical="center" wrapText="1"/>
    </xf>
    <xf numFmtId="168" fontId="5" fillId="3" borderId="3" xfId="0" applyNumberFormat="1" applyFont="1" applyFill="1" applyBorder="1" applyAlignment="1">
      <alignment vertical="center"/>
    </xf>
    <xf numFmtId="168" fontId="5" fillId="3" borderId="3" xfId="0" applyNumberFormat="1" applyFont="1" applyFill="1" applyBorder="1" applyAlignment="1">
      <alignment vertical="center" wrapText="1"/>
    </xf>
    <xf numFmtId="3" fontId="18" fillId="0" borderId="0" xfId="0" applyNumberFormat="1" applyFont="1"/>
    <xf numFmtId="0" fontId="15" fillId="5" borderId="3" xfId="0" applyFont="1" applyFill="1" applyBorder="1"/>
    <xf numFmtId="0" fontId="22" fillId="0" borderId="0" xfId="0" applyFont="1"/>
    <xf numFmtId="1" fontId="22" fillId="0" borderId="0" xfId="0" applyNumberFormat="1" applyFont="1"/>
    <xf numFmtId="9" fontId="22" fillId="0" borderId="0" xfId="0" applyNumberFormat="1" applyFont="1"/>
    <xf numFmtId="0" fontId="9" fillId="8" borderId="3" xfId="0" applyFont="1" applyFill="1" applyBorder="1"/>
    <xf numFmtId="0" fontId="0" fillId="8" borderId="3" xfId="0" applyFill="1" applyBorder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70" fontId="0" fillId="0" borderId="0" xfId="0" applyNumberFormat="1"/>
    <xf numFmtId="0" fontId="2" fillId="4" borderId="5" xfId="0" applyFont="1" applyFill="1" applyBorder="1"/>
    <xf numFmtId="166" fontId="0" fillId="6" borderId="3" xfId="2" applyNumberFormat="1" applyFont="1" applyFill="1" applyBorder="1"/>
    <xf numFmtId="166" fontId="12" fillId="6" borderId="3" xfId="2" applyNumberFormat="1" applyFont="1" applyFill="1" applyBorder="1" applyAlignment="1">
      <alignment horizontal="center"/>
    </xf>
    <xf numFmtId="166" fontId="12" fillId="6" borderId="3" xfId="2" applyNumberFormat="1" applyFont="1" applyFill="1" applyBorder="1"/>
    <xf numFmtId="0" fontId="2" fillId="4" borderId="0" xfId="0" applyFont="1" applyFill="1"/>
    <xf numFmtId="43" fontId="5" fillId="5" borderId="3" xfId="0" applyNumberFormat="1" applyFont="1" applyFill="1" applyBorder="1" applyAlignment="1">
      <alignment horizontal="center" vertical="center"/>
    </xf>
    <xf numFmtId="43" fontId="11" fillId="5" borderId="3" xfId="2" applyFont="1" applyFill="1" applyBorder="1" applyAlignment="1">
      <alignment horizontal="center" vertical="center"/>
    </xf>
    <xf numFmtId="43" fontId="11" fillId="5" borderId="3" xfId="0" applyNumberFormat="1" applyFont="1" applyFill="1" applyBorder="1" applyAlignment="1">
      <alignment horizontal="center" vertical="center"/>
    </xf>
    <xf numFmtId="172" fontId="0" fillId="0" borderId="0" xfId="0" applyNumberFormat="1"/>
    <xf numFmtId="3" fontId="4" fillId="9" borderId="3" xfId="0" applyNumberFormat="1" applyFont="1" applyFill="1" applyBorder="1" applyAlignment="1">
      <alignment horizontal="center" vertical="center" wrapText="1"/>
    </xf>
    <xf numFmtId="3" fontId="4" fillId="9" borderId="3" xfId="2" applyNumberFormat="1" applyFont="1" applyFill="1" applyBorder="1" applyAlignment="1">
      <alignment vertical="center" wrapText="1"/>
    </xf>
    <xf numFmtId="3" fontId="4" fillId="9" borderId="3" xfId="2" applyNumberFormat="1" applyFont="1" applyFill="1" applyBorder="1" applyAlignment="1">
      <alignment horizontal="center" vertical="center" wrapText="1"/>
    </xf>
    <xf numFmtId="3" fontId="4" fillId="9" borderId="3" xfId="2" applyNumberFormat="1" applyFont="1" applyFill="1" applyBorder="1" applyAlignment="1">
      <alignment horizontal="center" vertical="center" wrapText="1" shrinkToFit="1"/>
    </xf>
    <xf numFmtId="3" fontId="9" fillId="9" borderId="3" xfId="2" applyNumberFormat="1" applyFont="1" applyFill="1" applyBorder="1"/>
    <xf numFmtId="171" fontId="4" fillId="9" borderId="3" xfId="0" applyNumberFormat="1" applyFont="1" applyFill="1" applyBorder="1" applyAlignment="1">
      <alignment horizontal="center" vertical="center" wrapText="1"/>
    </xf>
    <xf numFmtId="171" fontId="4" fillId="9" borderId="3" xfId="2" applyNumberFormat="1" applyFont="1" applyFill="1" applyBorder="1" applyAlignment="1">
      <alignment horizontal="center" vertical="center" wrapText="1"/>
    </xf>
    <xf numFmtId="170" fontId="4" fillId="9" borderId="3" xfId="2" applyNumberFormat="1" applyFont="1" applyFill="1" applyBorder="1" applyAlignment="1">
      <alignment horizontal="center" vertical="center" wrapText="1" shrinkToFit="1"/>
    </xf>
    <xf numFmtId="3" fontId="9" fillId="9" borderId="9" xfId="2" applyNumberFormat="1" applyFont="1" applyFill="1" applyBorder="1"/>
    <xf numFmtId="3" fontId="4" fillId="9" borderId="3" xfId="0" applyNumberFormat="1" applyFont="1" applyFill="1" applyBorder="1" applyAlignment="1">
      <alignment horizontal="center"/>
    </xf>
    <xf numFmtId="3" fontId="4" fillId="9" borderId="3" xfId="2" applyNumberFormat="1" applyFont="1" applyFill="1" applyBorder="1" applyAlignment="1">
      <alignment horizontal="center" vertical="center"/>
    </xf>
    <xf numFmtId="3" fontId="4" fillId="9" borderId="3" xfId="2" applyNumberFormat="1" applyFont="1" applyFill="1" applyBorder="1" applyAlignment="1">
      <alignment horizontal="center"/>
    </xf>
    <xf numFmtId="3" fontId="4" fillId="9" borderId="9" xfId="2" applyNumberFormat="1" applyFont="1" applyFill="1" applyBorder="1" applyAlignment="1">
      <alignment horizontal="center"/>
    </xf>
    <xf numFmtId="3" fontId="4" fillId="9" borderId="14" xfId="2" applyNumberFormat="1" applyFont="1" applyFill="1" applyBorder="1" applyAlignment="1">
      <alignment horizontal="center"/>
    </xf>
    <xf numFmtId="3" fontId="3" fillId="5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3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/>
    </xf>
    <xf numFmtId="166" fontId="21" fillId="4" borderId="3" xfId="0" applyNumberFormat="1" applyFont="1" applyFill="1" applyBorder="1"/>
    <xf numFmtId="0" fontId="5" fillId="9" borderId="2" xfId="0" applyFont="1" applyFill="1" applyBorder="1" applyAlignment="1">
      <alignment horizontal="right" vertical="center"/>
    </xf>
    <xf numFmtId="0" fontId="11" fillId="4" borderId="3" xfId="0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right" vertical="center"/>
    </xf>
    <xf numFmtId="168" fontId="11" fillId="4" borderId="3" xfId="0" applyNumberFormat="1" applyFont="1" applyFill="1" applyBorder="1" applyAlignment="1">
      <alignment horizontal="right" vertical="center"/>
    </xf>
    <xf numFmtId="0" fontId="12" fillId="4" borderId="3" xfId="0" applyFont="1" applyFill="1" applyBorder="1" applyAlignment="1">
      <alignment horizontal="center" vertical="center" wrapText="1"/>
    </xf>
    <xf numFmtId="166" fontId="12" fillId="4" borderId="3" xfId="2" applyNumberFormat="1" applyFont="1" applyFill="1" applyBorder="1" applyAlignment="1">
      <alignment horizontal="center"/>
    </xf>
    <xf numFmtId="166" fontId="12" fillId="4" borderId="3" xfId="2" applyNumberFormat="1" applyFont="1" applyFill="1" applyBorder="1"/>
    <xf numFmtId="0" fontId="0" fillId="0" borderId="0" xfId="0" applyAlignment="1">
      <alignment wrapText="1"/>
    </xf>
    <xf numFmtId="0" fontId="0" fillId="4" borderId="8" xfId="0" applyFill="1" applyBorder="1"/>
    <xf numFmtId="0" fontId="2" fillId="0" borderId="3" xfId="0" applyFont="1" applyBorder="1"/>
    <xf numFmtId="173" fontId="0" fillId="0" borderId="0" xfId="4" applyNumberFormat="1" applyFont="1"/>
    <xf numFmtId="2" fontId="0" fillId="0" borderId="0" xfId="0" applyNumberFormat="1"/>
    <xf numFmtId="0" fontId="0" fillId="0" borderId="0" xfId="0" applyAlignment="1">
      <alignment vertical="center"/>
    </xf>
    <xf numFmtId="0" fontId="9" fillId="6" borderId="0" xfId="0" applyFont="1" applyFill="1"/>
    <xf numFmtId="166" fontId="5" fillId="3" borderId="3" xfId="0" applyNumberFormat="1" applyFont="1" applyFill="1" applyBorder="1" applyAlignment="1">
      <alignment vertical="center"/>
    </xf>
    <xf numFmtId="166" fontId="4" fillId="5" borderId="3" xfId="0" applyNumberFormat="1" applyFont="1" applyFill="1" applyBorder="1"/>
    <xf numFmtId="166" fontId="7" fillId="4" borderId="3" xfId="0" applyNumberFormat="1" applyFont="1" applyFill="1" applyBorder="1"/>
    <xf numFmtId="0" fontId="8" fillId="6" borderId="12" xfId="0" applyFont="1" applyFill="1" applyBorder="1" applyAlignment="1">
      <alignment horizontal="center" vertical="center" wrapText="1"/>
    </xf>
    <xf numFmtId="3" fontId="4" fillId="9" borderId="3" xfId="0" applyNumberFormat="1" applyFont="1" applyFill="1" applyBorder="1"/>
    <xf numFmtId="3" fontId="0" fillId="9" borderId="3" xfId="0" applyNumberFormat="1" applyFill="1" applyBorder="1"/>
    <xf numFmtId="3" fontId="0" fillId="9" borderId="3" xfId="0" applyNumberFormat="1" applyFill="1" applyBorder="1" applyAlignment="1">
      <alignment horizontal="right"/>
    </xf>
    <xf numFmtId="173" fontId="0" fillId="0" borderId="0" xfId="0" applyNumberFormat="1"/>
    <xf numFmtId="3" fontId="2" fillId="5" borderId="3" xfId="0" applyNumberFormat="1" applyFont="1" applyFill="1" applyBorder="1"/>
    <xf numFmtId="166" fontId="14" fillId="4" borderId="3" xfId="2" applyNumberFormat="1" applyFont="1" applyFill="1" applyBorder="1"/>
    <xf numFmtId="166" fontId="4" fillId="4" borderId="3" xfId="2" applyNumberFormat="1" applyFont="1" applyFill="1" applyBorder="1" applyAlignment="1">
      <alignment horizontal="center"/>
    </xf>
    <xf numFmtId="3" fontId="0" fillId="7" borderId="3" xfId="0" applyNumberFormat="1" applyFill="1" applyBorder="1"/>
    <xf numFmtId="174" fontId="0" fillId="0" borderId="3" xfId="2" applyNumberFormat="1" applyFont="1" applyFill="1" applyBorder="1"/>
    <xf numFmtId="173" fontId="8" fillId="4" borderId="3" xfId="4" applyNumberFormat="1" applyFont="1" applyFill="1" applyBorder="1" applyAlignment="1">
      <alignment horizontal="center" wrapText="1"/>
    </xf>
    <xf numFmtId="166" fontId="8" fillId="4" borderId="3" xfId="0" applyNumberFormat="1" applyFont="1" applyFill="1" applyBorder="1" applyAlignment="1">
      <alignment horizontal="center" wrapText="1"/>
    </xf>
    <xf numFmtId="166" fontId="1" fillId="0" borderId="3" xfId="2" applyNumberFormat="1" applyFont="1" applyFill="1" applyBorder="1"/>
    <xf numFmtId="169" fontId="0" fillId="0" borderId="0" xfId="3" applyNumberFormat="1" applyFont="1" applyFill="1"/>
    <xf numFmtId="3" fontId="5" fillId="3" borderId="3" xfId="0" applyNumberFormat="1" applyFont="1" applyFill="1" applyBorder="1" applyAlignment="1">
      <alignment horizontal="center" vertical="center"/>
    </xf>
    <xf numFmtId="3" fontId="11" fillId="5" borderId="3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8" fillId="4" borderId="3" xfId="0" applyNumberFormat="1" applyFont="1" applyFill="1" applyBorder="1" applyAlignment="1">
      <alignment horizontal="center" wrapText="1"/>
    </xf>
    <xf numFmtId="175" fontId="5" fillId="3" borderId="3" xfId="0" applyNumberFormat="1" applyFont="1" applyFill="1" applyBorder="1" applyAlignment="1">
      <alignment horizontal="center" vertical="center"/>
    </xf>
    <xf numFmtId="166" fontId="6" fillId="5" borderId="3" xfId="0" applyNumberFormat="1" applyFont="1" applyFill="1" applyBorder="1"/>
    <xf numFmtId="166" fontId="6" fillId="4" borderId="3" xfId="0" applyNumberFormat="1" applyFont="1" applyFill="1" applyBorder="1"/>
    <xf numFmtId="166" fontId="0" fillId="6" borderId="0" xfId="0" applyNumberFormat="1" applyFill="1"/>
    <xf numFmtId="173" fontId="4" fillId="4" borderId="3" xfId="4" applyNumberFormat="1" applyFont="1" applyFill="1" applyBorder="1"/>
    <xf numFmtId="173" fontId="5" fillId="3" borderId="3" xfId="4" applyNumberFormat="1" applyFont="1" applyFill="1" applyBorder="1" applyAlignment="1">
      <alignment horizontal="center" vertical="center"/>
    </xf>
    <xf numFmtId="173" fontId="11" fillId="4" borderId="3" xfId="4" applyNumberFormat="1" applyFont="1" applyFill="1" applyBorder="1" applyAlignment="1">
      <alignment horizontal="center" vertical="center"/>
    </xf>
    <xf numFmtId="0" fontId="9" fillId="9" borderId="3" xfId="0" applyFont="1" applyFill="1" applyBorder="1"/>
    <xf numFmtId="166" fontId="2" fillId="0" borderId="0" xfId="0" applyNumberFormat="1" applyFont="1"/>
    <xf numFmtId="166" fontId="22" fillId="0" borderId="0" xfId="0" applyNumberFormat="1" applyFont="1"/>
    <xf numFmtId="166" fontId="9" fillId="0" borderId="0" xfId="2" applyNumberFormat="1" applyFont="1" applyFill="1"/>
    <xf numFmtId="0" fontId="5" fillId="10" borderId="3" xfId="0" applyFont="1" applyFill="1" applyBorder="1" applyAlignment="1">
      <alignment horizontal="center" vertical="center"/>
    </xf>
    <xf numFmtId="43" fontId="5" fillId="10" borderId="3" xfId="0" applyNumberFormat="1" applyFont="1" applyFill="1" applyBorder="1" applyAlignment="1">
      <alignment horizontal="center" vertical="center"/>
    </xf>
    <xf numFmtId="166" fontId="5" fillId="10" borderId="3" xfId="0" applyNumberFormat="1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/>
    </xf>
    <xf numFmtId="0" fontId="20" fillId="4" borderId="7" xfId="0" applyFont="1" applyFill="1" applyBorder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15" fillId="6" borderId="3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23" fillId="7" borderId="16" xfId="0" applyFont="1" applyFill="1" applyBorder="1" applyAlignment="1">
      <alignment horizontal="center"/>
    </xf>
    <xf numFmtId="0" fontId="23" fillId="7" borderId="12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left"/>
    </xf>
    <xf numFmtId="0" fontId="12" fillId="4" borderId="2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5" xfId="0" applyFont="1" applyFill="1" applyBorder="1" applyAlignment="1">
      <alignment horizontal="left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wrapText="1"/>
    </xf>
    <xf numFmtId="0" fontId="9" fillId="6" borderId="10" xfId="0" applyFont="1" applyFill="1" applyBorder="1" applyAlignment="1">
      <alignment horizontal="center" wrapText="1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</cellXfs>
  <cellStyles count="5">
    <cellStyle name="Ezres" xfId="4" builtinId="3"/>
    <cellStyle name="Ezres 2" xfId="2"/>
    <cellStyle name="Normál" xfId="0" builtinId="0"/>
    <cellStyle name="Normál 2" xfId="1"/>
    <cellStyle name="Százalék" xfId="3" builtinId="5"/>
  </cellStyles>
  <dxfs count="0"/>
  <tableStyles count="0" defaultTableStyle="TableStyleMedium2" defaultPivotStyle="PivotStyleLight16"/>
  <colors>
    <mruColors>
      <color rgb="FFFFFFCC"/>
      <color rgb="FFFFFF99"/>
      <color rgb="FFFFFF66"/>
      <color rgb="FFC4A2BD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49"/>
  <sheetViews>
    <sheetView view="pageBreakPreview" zoomScale="85" zoomScaleNormal="100" zoomScaleSheetLayoutView="85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T6" sqref="T6"/>
    </sheetView>
  </sheetViews>
  <sheetFormatPr defaultColWidth="8.7109375" defaultRowHeight="15" x14ac:dyDescent="0.25"/>
  <cols>
    <col min="1" max="2" width="13.85546875" customWidth="1"/>
    <col min="3" max="3" width="16.85546875" customWidth="1"/>
    <col min="4" max="5" width="17.85546875" customWidth="1"/>
    <col min="6" max="6" width="17.42578125" customWidth="1"/>
    <col min="7" max="8" width="13.85546875" customWidth="1"/>
    <col min="9" max="9" width="18" customWidth="1"/>
    <col min="10" max="11" width="13.85546875" customWidth="1"/>
    <col min="12" max="12" width="15.85546875" customWidth="1"/>
    <col min="13" max="13" width="13.85546875" customWidth="1"/>
    <col min="14" max="14" width="17.5703125" customWidth="1"/>
    <col min="15" max="15" width="13.85546875" customWidth="1"/>
    <col min="16" max="16" width="15.7109375" bestFit="1" customWidth="1"/>
    <col min="17" max="18" width="13.85546875" customWidth="1"/>
    <col min="19" max="19" width="15.85546875" customWidth="1"/>
    <col min="20" max="20" width="15.5703125" customWidth="1"/>
    <col min="21" max="21" width="19.85546875" customWidth="1"/>
    <col min="22" max="22" width="24.42578125" customWidth="1"/>
    <col min="23" max="23" width="17.42578125" customWidth="1"/>
    <col min="24" max="24" width="17.7109375" customWidth="1"/>
    <col min="25" max="25" width="12.7109375" bestFit="1" customWidth="1"/>
  </cols>
  <sheetData>
    <row r="1" spans="1:27" ht="24" thickBot="1" x14ac:dyDescent="0.4">
      <c r="A1" s="159" t="s">
        <v>135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1"/>
      <c r="Y1" s="25"/>
    </row>
    <row r="2" spans="1:2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 t="s">
        <v>63</v>
      </c>
      <c r="W2" s="2"/>
      <c r="X2" s="2"/>
      <c r="Y2" s="3"/>
    </row>
    <row r="3" spans="1:27" ht="114.75" x14ac:dyDescent="0.25">
      <c r="A3" s="4" t="s">
        <v>0</v>
      </c>
      <c r="B3" s="127" t="s">
        <v>136</v>
      </c>
      <c r="C3" s="5" t="s">
        <v>27</v>
      </c>
      <c r="D3" s="5" t="s">
        <v>28</v>
      </c>
      <c r="E3" s="5" t="s">
        <v>29</v>
      </c>
      <c r="F3" s="5" t="s">
        <v>28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5" t="s">
        <v>28</v>
      </c>
      <c r="M3" s="6" t="s">
        <v>77</v>
      </c>
      <c r="N3" s="6" t="s">
        <v>28</v>
      </c>
      <c r="O3" s="6" t="s">
        <v>78</v>
      </c>
      <c r="P3" s="6" t="s">
        <v>71</v>
      </c>
      <c r="Q3" s="5" t="s">
        <v>35</v>
      </c>
      <c r="R3" s="5" t="s">
        <v>28</v>
      </c>
      <c r="S3" s="5" t="s">
        <v>36</v>
      </c>
      <c r="T3" s="5" t="s">
        <v>37</v>
      </c>
      <c r="U3" s="5" t="s">
        <v>28</v>
      </c>
      <c r="V3" s="5" t="s">
        <v>38</v>
      </c>
      <c r="W3" s="52" t="s">
        <v>131</v>
      </c>
      <c r="X3" s="78"/>
    </row>
    <row r="4" spans="1:27" ht="30" x14ac:dyDescent="0.3">
      <c r="A4" s="7" t="s">
        <v>39</v>
      </c>
      <c r="B4" s="8"/>
      <c r="C4" s="88">
        <v>0</v>
      </c>
      <c r="D4" s="89"/>
      <c r="E4" s="88">
        <v>37928000</v>
      </c>
      <c r="F4" s="90"/>
      <c r="G4" s="90"/>
      <c r="H4" s="90">
        <v>6469000</v>
      </c>
      <c r="I4" s="90"/>
      <c r="J4" s="90">
        <v>2736000</v>
      </c>
      <c r="K4" s="90"/>
      <c r="L4" s="90"/>
      <c r="M4" s="91">
        <v>21934000</v>
      </c>
      <c r="N4" s="91"/>
      <c r="O4" s="91">
        <v>487000</v>
      </c>
      <c r="P4" s="91"/>
      <c r="Q4" s="90">
        <v>0</v>
      </c>
      <c r="R4" s="90"/>
      <c r="S4" s="92">
        <v>0</v>
      </c>
      <c r="T4" s="92">
        <v>0</v>
      </c>
      <c r="U4" s="92"/>
      <c r="V4" s="128">
        <f>SUM(C4:T4)</f>
        <v>69554000</v>
      </c>
      <c r="W4" s="129">
        <v>69554000</v>
      </c>
      <c r="X4" s="53"/>
    </row>
    <row r="5" spans="1:27" ht="30" x14ac:dyDescent="0.3">
      <c r="A5" s="7" t="s">
        <v>86</v>
      </c>
      <c r="B5" s="8"/>
      <c r="C5" s="93"/>
      <c r="D5" s="89"/>
      <c r="E5" s="93"/>
      <c r="F5" s="90"/>
      <c r="G5" s="94"/>
      <c r="H5" s="90"/>
      <c r="I5" s="90"/>
      <c r="J5" s="90"/>
      <c r="K5" s="90"/>
      <c r="L5" s="90"/>
      <c r="M5" s="95"/>
      <c r="N5" s="91"/>
      <c r="O5" s="91">
        <v>55804874</v>
      </c>
      <c r="P5" s="91"/>
      <c r="Q5" s="94"/>
      <c r="R5" s="90"/>
      <c r="S5" s="92"/>
      <c r="T5" s="92"/>
      <c r="U5" s="96"/>
      <c r="V5" s="128">
        <f>SUM(C5:T5)</f>
        <v>55804874</v>
      </c>
      <c r="W5" s="129">
        <v>55804874</v>
      </c>
      <c r="X5" s="53"/>
    </row>
    <row r="6" spans="1:27" ht="30" x14ac:dyDescent="0.3">
      <c r="A6" s="7" t="s">
        <v>40</v>
      </c>
      <c r="B6" s="63"/>
      <c r="C6" s="97">
        <v>28320000</v>
      </c>
      <c r="D6" s="98"/>
      <c r="E6" s="97">
        <v>36244500</v>
      </c>
      <c r="F6" s="98"/>
      <c r="G6" s="99"/>
      <c r="H6" s="99">
        <v>93997200</v>
      </c>
      <c r="I6" s="99"/>
      <c r="J6" s="99"/>
      <c r="K6" s="99"/>
      <c r="L6" s="99"/>
      <c r="M6" s="99">
        <v>6279640</v>
      </c>
      <c r="N6" s="99"/>
      <c r="O6" s="99">
        <v>31564990</v>
      </c>
      <c r="P6" s="99"/>
      <c r="Q6" s="99">
        <v>12094400</v>
      </c>
      <c r="R6" s="99"/>
      <c r="S6" s="99">
        <v>69752550</v>
      </c>
      <c r="T6" s="99">
        <v>53805688</v>
      </c>
      <c r="U6" s="100"/>
      <c r="V6" s="128">
        <f>SUM(C6:T6)</f>
        <v>332058968</v>
      </c>
      <c r="W6" s="129">
        <v>332058968</v>
      </c>
      <c r="X6" s="53"/>
      <c r="Y6" s="53">
        <f>SUM(S6:T6)</f>
        <v>123558238</v>
      </c>
    </row>
    <row r="7" spans="1:27" ht="45" x14ac:dyDescent="0.3">
      <c r="A7" s="7" t="s">
        <v>132</v>
      </c>
      <c r="B7" s="8"/>
      <c r="C7" s="97"/>
      <c r="D7" s="98"/>
      <c r="E7" s="97"/>
      <c r="F7" s="98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128">
        <f>SUM(C7:T7)</f>
        <v>0</v>
      </c>
      <c r="W7" s="130"/>
      <c r="X7" s="53"/>
    </row>
    <row r="8" spans="1:27" ht="15.75" x14ac:dyDescent="0.3">
      <c r="A8" s="28" t="s">
        <v>41</v>
      </c>
      <c r="B8" s="29"/>
      <c r="C8" s="97">
        <v>2500000</v>
      </c>
      <c r="D8" s="98"/>
      <c r="E8" s="97">
        <v>2800000</v>
      </c>
      <c r="F8" s="98"/>
      <c r="G8" s="99"/>
      <c r="H8" s="99">
        <v>11800000</v>
      </c>
      <c r="I8" s="99"/>
      <c r="J8" s="99">
        <v>2222000</v>
      </c>
      <c r="K8" s="99"/>
      <c r="L8" s="99"/>
      <c r="M8" s="99">
        <v>850000</v>
      </c>
      <c r="N8" s="99"/>
      <c r="O8" s="99">
        <v>12539000</v>
      </c>
      <c r="P8" s="99"/>
      <c r="Q8" s="99">
        <v>850000</v>
      </c>
      <c r="R8" s="99"/>
      <c r="S8" s="99">
        <v>2750000</v>
      </c>
      <c r="T8" s="99">
        <v>6050000</v>
      </c>
      <c r="U8" s="101"/>
      <c r="V8" s="128">
        <f>SUM(C8:T8)</f>
        <v>42361000</v>
      </c>
      <c r="W8" s="129">
        <v>42361000</v>
      </c>
      <c r="X8" s="53"/>
      <c r="Y8" s="23"/>
      <c r="Z8" s="23"/>
      <c r="AA8" s="23"/>
    </row>
    <row r="9" spans="1:27" ht="30" x14ac:dyDescent="0.3">
      <c r="A9" s="7" t="s">
        <v>42</v>
      </c>
      <c r="B9" s="9"/>
      <c r="C9" s="102">
        <f>SUM(C4:C8)</f>
        <v>30820000</v>
      </c>
      <c r="D9" s="102">
        <f t="shared" ref="D9:U9" si="0">SUM(D4:D8)</f>
        <v>0</v>
      </c>
      <c r="E9" s="102">
        <f>SUM(E4:E8)</f>
        <v>76972500</v>
      </c>
      <c r="F9" s="102">
        <f t="shared" si="0"/>
        <v>0</v>
      </c>
      <c r="G9" s="102">
        <f t="shared" si="0"/>
        <v>0</v>
      </c>
      <c r="H9" s="102">
        <f t="shared" si="0"/>
        <v>112266200</v>
      </c>
      <c r="I9" s="102">
        <f t="shared" si="0"/>
        <v>0</v>
      </c>
      <c r="J9" s="102">
        <f>SUM(J4:J8)</f>
        <v>4958000</v>
      </c>
      <c r="K9" s="102">
        <f t="shared" si="0"/>
        <v>0</v>
      </c>
      <c r="L9" s="102">
        <f t="shared" si="0"/>
        <v>0</v>
      </c>
      <c r="M9" s="102">
        <f t="shared" si="0"/>
        <v>29063640</v>
      </c>
      <c r="N9" s="102">
        <f t="shared" si="0"/>
        <v>0</v>
      </c>
      <c r="O9" s="102">
        <f>SUM(O4:O8)</f>
        <v>100395864</v>
      </c>
      <c r="P9" s="102"/>
      <c r="Q9" s="102">
        <f>SUM(Q4:Q8)</f>
        <v>12944400</v>
      </c>
      <c r="R9" s="102">
        <f t="shared" si="0"/>
        <v>0</v>
      </c>
      <c r="S9" s="102">
        <f>SUM(S4:S8)</f>
        <v>72502550</v>
      </c>
      <c r="T9" s="102">
        <f>SUM(T4:T8)</f>
        <v>59855688</v>
      </c>
      <c r="U9" s="102">
        <f t="shared" si="0"/>
        <v>0</v>
      </c>
      <c r="V9" s="128">
        <f t="shared" ref="V9:V10" si="1">SUM(C9:T9)</f>
        <v>499778842</v>
      </c>
      <c r="W9" s="102">
        <f>SUM(W4:W8)</f>
        <v>499778842</v>
      </c>
      <c r="X9" s="53"/>
      <c r="Y9" s="10"/>
      <c r="Z9" s="10"/>
      <c r="AA9" s="10"/>
    </row>
    <row r="10" spans="1:27" ht="15.75" x14ac:dyDescent="0.3">
      <c r="A10" s="7" t="s">
        <v>43</v>
      </c>
      <c r="B10" s="8"/>
      <c r="C10" s="102">
        <v>30010000</v>
      </c>
      <c r="D10" s="55"/>
      <c r="E10" s="102">
        <v>78768000</v>
      </c>
      <c r="F10" s="56"/>
      <c r="G10" s="55"/>
      <c r="H10" s="55">
        <v>100526000</v>
      </c>
      <c r="I10" s="55"/>
      <c r="J10" s="55">
        <v>15309000</v>
      </c>
      <c r="K10" s="55"/>
      <c r="L10" s="55"/>
      <c r="M10" s="55">
        <v>45178000</v>
      </c>
      <c r="N10" s="55"/>
      <c r="O10" s="55">
        <v>100839874</v>
      </c>
      <c r="P10" s="55"/>
      <c r="Q10" s="55">
        <v>18275000</v>
      </c>
      <c r="R10" s="55"/>
      <c r="S10" s="55">
        <v>54811000</v>
      </c>
      <c r="T10" s="55">
        <v>78769000</v>
      </c>
      <c r="U10" s="54"/>
      <c r="V10" s="128">
        <f t="shared" si="1"/>
        <v>522485874</v>
      </c>
      <c r="W10" s="132">
        <v>522485874</v>
      </c>
      <c r="X10" s="53"/>
    </row>
    <row r="11" spans="1:27" ht="30" x14ac:dyDescent="0.3">
      <c r="A11" s="11" t="s">
        <v>126</v>
      </c>
      <c r="B11" s="12"/>
      <c r="C11" s="38"/>
      <c r="D11" s="149">
        <f>C9-C10</f>
        <v>810000</v>
      </c>
      <c r="E11" s="38"/>
      <c r="F11" s="13">
        <f>E9-E10</f>
        <v>-1795500</v>
      </c>
      <c r="G11" s="13"/>
      <c r="H11" s="13"/>
      <c r="I11" s="133">
        <f>H9-H10</f>
        <v>11740200</v>
      </c>
      <c r="J11" s="13"/>
      <c r="K11" s="13"/>
      <c r="L11" s="13">
        <f>J9-J10</f>
        <v>-10351000</v>
      </c>
      <c r="M11" s="13"/>
      <c r="N11" s="13">
        <f>M9-M10</f>
        <v>-16114360</v>
      </c>
      <c r="O11" s="13"/>
      <c r="P11" s="13">
        <f>O9-O10</f>
        <v>-444010</v>
      </c>
      <c r="Q11" s="13"/>
      <c r="R11" s="13">
        <f>Q9-Q10</f>
        <v>-5330600</v>
      </c>
      <c r="S11" s="13">
        <f>S9-S10</f>
        <v>17691550</v>
      </c>
      <c r="T11" s="13">
        <f>T9-T10</f>
        <v>-18913312</v>
      </c>
      <c r="U11" s="134">
        <f>S11+T11</f>
        <v>-1221762</v>
      </c>
      <c r="V11" s="128">
        <f>D11+F11+I11+L11+N11+P11+R11+U11</f>
        <v>-22707032</v>
      </c>
      <c r="W11" s="135">
        <f>W10-W9</f>
        <v>22707032</v>
      </c>
      <c r="X11" s="53"/>
    </row>
    <row r="12" spans="1:27" ht="15.75" x14ac:dyDescent="0.3">
      <c r="A12" s="7"/>
      <c r="B12" s="8"/>
      <c r="C12" s="1"/>
      <c r="D12" s="1"/>
      <c r="E12" s="1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9"/>
      <c r="T12" s="39"/>
      <c r="U12" s="35"/>
      <c r="V12" s="48"/>
      <c r="W12" s="162" t="s">
        <v>88</v>
      </c>
      <c r="X12" s="163"/>
    </row>
    <row r="13" spans="1:27" ht="15.75" x14ac:dyDescent="0.3">
      <c r="A13" s="7"/>
      <c r="B13" s="8"/>
      <c r="C13" s="1"/>
      <c r="D13" s="1"/>
      <c r="E13" s="1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9"/>
      <c r="T13" s="39"/>
      <c r="U13" s="35"/>
      <c r="V13" s="48"/>
      <c r="W13" s="162"/>
      <c r="X13" s="163"/>
    </row>
    <row r="14" spans="1:27" ht="16.5" x14ac:dyDescent="0.3">
      <c r="A14" s="14" t="s">
        <v>1</v>
      </c>
      <c r="B14" s="109">
        <v>989</v>
      </c>
      <c r="C14" s="15" t="s">
        <v>44</v>
      </c>
      <c r="D14" s="150">
        <f>ROUND($D$11/$B$42*B14,0)</f>
        <v>30721</v>
      </c>
      <c r="E14" s="15" t="s">
        <v>44</v>
      </c>
      <c r="F14" s="15"/>
      <c r="G14" s="15" t="s">
        <v>44</v>
      </c>
      <c r="H14" s="84">
        <f>'Házis.kiadás arányos feloszt.'!O9</f>
        <v>0.55000000000000004</v>
      </c>
      <c r="I14" s="16">
        <f>'Házis.kiadás arányos feloszt.'!W9</f>
        <v>19132.488942872675</v>
      </c>
      <c r="J14" s="15" t="s">
        <v>44</v>
      </c>
      <c r="K14" s="15">
        <f>Jelzőrendsz.!B4</f>
        <v>0.75</v>
      </c>
      <c r="L14" s="141">
        <f>Jelzőrendsz.!N4</f>
        <v>-131764.17857142858</v>
      </c>
      <c r="M14" s="110" t="s">
        <v>45</v>
      </c>
      <c r="N14" s="110"/>
      <c r="O14" s="110"/>
      <c r="P14" s="110"/>
      <c r="Q14" s="110" t="s">
        <v>45</v>
      </c>
      <c r="R14" s="110"/>
      <c r="S14" s="17" t="s">
        <v>44</v>
      </c>
      <c r="T14" s="18" t="s">
        <v>44</v>
      </c>
      <c r="U14" s="125">
        <f>ROUND($U$11/$B$39*B14,3)</f>
        <v>-41113.392999999996</v>
      </c>
      <c r="V14" s="146">
        <f>D14+F14+I14+L14+U14+N14+P14+R14</f>
        <v>-123024.0826285559</v>
      </c>
      <c r="W14" s="70">
        <f>IF(ROUND(V14/1000,0)&lt;0,ROUND(V14/1000,0),0)</f>
        <v>-123</v>
      </c>
      <c r="X14" s="49"/>
    </row>
    <row r="15" spans="1:27" ht="16.5" x14ac:dyDescent="0.3">
      <c r="A15" s="14" t="s">
        <v>2</v>
      </c>
      <c r="B15" s="109">
        <v>390</v>
      </c>
      <c r="C15" s="15" t="s">
        <v>44</v>
      </c>
      <c r="D15" s="150">
        <f t="shared" ref="D15:D18" si="2">ROUND($D$11/$B$42*B15,0)</f>
        <v>12115</v>
      </c>
      <c r="E15" s="15" t="s">
        <v>44</v>
      </c>
      <c r="F15" s="15"/>
      <c r="G15" s="15" t="s">
        <v>44</v>
      </c>
      <c r="H15" s="84"/>
      <c r="I15" s="16"/>
      <c r="J15" s="15" t="s">
        <v>44</v>
      </c>
      <c r="K15" s="15"/>
      <c r="L15" s="141"/>
      <c r="M15" s="110" t="s">
        <v>45</v>
      </c>
      <c r="N15" s="110"/>
      <c r="O15" s="110"/>
      <c r="P15" s="110"/>
      <c r="Q15" s="110" t="s">
        <v>45</v>
      </c>
      <c r="R15" s="110"/>
      <c r="S15" s="17" t="s">
        <v>44</v>
      </c>
      <c r="T15" s="18" t="s">
        <v>44</v>
      </c>
      <c r="U15" s="125">
        <f t="shared" ref="U15:U37" si="3">ROUND($U$11/$B$39*B15,3)</f>
        <v>-16212.561</v>
      </c>
      <c r="V15" s="146">
        <f t="shared" ref="V15:V38" si="4">D15+F15+I15+L15+U15+N15+P15+R15</f>
        <v>-4097.5609999999997</v>
      </c>
      <c r="W15" s="70">
        <v>0</v>
      </c>
      <c r="X15" s="49"/>
    </row>
    <row r="16" spans="1:27" ht="16.5" x14ac:dyDescent="0.3">
      <c r="A16" s="14" t="s">
        <v>3</v>
      </c>
      <c r="B16" s="109">
        <v>12363</v>
      </c>
      <c r="C16" s="15" t="s">
        <v>44</v>
      </c>
      <c r="D16" s="150">
        <f>ROUND($D$11/$B$42*B16,0)+4</f>
        <v>384036</v>
      </c>
      <c r="E16" s="15">
        <v>14</v>
      </c>
      <c r="F16" s="124">
        <f>F11/16*E16</f>
        <v>-1571062.5</v>
      </c>
      <c r="G16" s="15" t="s">
        <v>44</v>
      </c>
      <c r="H16" s="84">
        <f>'Házis.kiadás arányos feloszt.'!O19</f>
        <v>79.420000000000016</v>
      </c>
      <c r="I16" s="22">
        <f>'Házis.kiadás arányos feloszt.'!W19</f>
        <v>10562515.867683001</v>
      </c>
      <c r="J16" s="15" t="s">
        <v>44</v>
      </c>
      <c r="K16" s="15">
        <f>Jelzőrendsz.!B14</f>
        <v>60.25</v>
      </c>
      <c r="L16" s="141">
        <f>Jelzőrendsz.!N14</f>
        <v>-9947187.6785714291</v>
      </c>
      <c r="M16" s="15" t="s">
        <v>44</v>
      </c>
      <c r="N16" s="145">
        <f>N11</f>
        <v>-16114360</v>
      </c>
      <c r="O16" s="16"/>
      <c r="P16" s="145">
        <f>P11</f>
        <v>-444010</v>
      </c>
      <c r="Q16" s="15" t="s">
        <v>44</v>
      </c>
      <c r="R16" s="145">
        <f>R11</f>
        <v>-5330600</v>
      </c>
      <c r="S16" s="17" t="s">
        <v>44</v>
      </c>
      <c r="T16" s="18" t="s">
        <v>44</v>
      </c>
      <c r="U16" s="125">
        <f>ROUND($U$11/$B$39*B16,3)</f>
        <v>-513938.19699999999</v>
      </c>
      <c r="V16" s="146">
        <f>D16+F16+I16+L16+U16+N16+P16+R16</f>
        <v>-22974606.507888429</v>
      </c>
      <c r="W16" s="70">
        <v>-21806</v>
      </c>
      <c r="X16" s="49"/>
      <c r="Y16" s="37"/>
    </row>
    <row r="17" spans="1:25" ht="16.5" x14ac:dyDescent="0.3">
      <c r="A17" s="14" t="s">
        <v>4</v>
      </c>
      <c r="B17" s="109">
        <v>432</v>
      </c>
      <c r="C17" s="15" t="s">
        <v>44</v>
      </c>
      <c r="D17" s="150">
        <f>ROUND($D$11/$B$42*B17,0)-2</f>
        <v>13417</v>
      </c>
      <c r="E17" s="15" t="s">
        <v>44</v>
      </c>
      <c r="F17" s="67"/>
      <c r="G17" s="156" t="s">
        <v>154</v>
      </c>
      <c r="H17" s="157"/>
      <c r="I17" s="158"/>
      <c r="J17" s="15" t="s">
        <v>44</v>
      </c>
      <c r="K17" s="15">
        <f>Jelzőrendsz.!B5</f>
        <v>6</v>
      </c>
      <c r="L17" s="141">
        <f>Jelzőrendsz.!N5</f>
        <v>145886.57142857142</v>
      </c>
      <c r="M17" s="110" t="s">
        <v>45</v>
      </c>
      <c r="N17" s="110"/>
      <c r="O17" s="110"/>
      <c r="P17" s="110"/>
      <c r="Q17" s="110" t="s">
        <v>45</v>
      </c>
      <c r="R17" s="110"/>
      <c r="S17" s="17" t="s">
        <v>44</v>
      </c>
      <c r="T17" s="18" t="s">
        <v>44</v>
      </c>
      <c r="U17" s="125">
        <f>ROUND($U$11/$B$39*B17,3)</f>
        <v>-17958.53</v>
      </c>
      <c r="V17" s="146">
        <f t="shared" si="4"/>
        <v>141345.04142857142</v>
      </c>
      <c r="W17" s="70">
        <f t="shared" ref="W17:W38" si="5">IF(ROUND(V17/1000,0)&lt;0,ROUND(V17/1000,0),0)</f>
        <v>0</v>
      </c>
      <c r="X17" s="49"/>
      <c r="Y17" s="37"/>
    </row>
    <row r="18" spans="1:25" ht="16.5" x14ac:dyDescent="0.3">
      <c r="A18" s="14" t="s">
        <v>5</v>
      </c>
      <c r="B18" s="109">
        <v>915</v>
      </c>
      <c r="C18" s="15" t="s">
        <v>44</v>
      </c>
      <c r="D18" s="150">
        <f t="shared" si="2"/>
        <v>28423</v>
      </c>
      <c r="E18" s="15">
        <v>2</v>
      </c>
      <c r="F18" s="124">
        <f>F11/16*E18</f>
        <v>-224437.5</v>
      </c>
      <c r="G18" s="15" t="s">
        <v>44</v>
      </c>
      <c r="H18" s="84">
        <f>'Házis.kiadás arányos feloszt.'!O10</f>
        <v>2.68</v>
      </c>
      <c r="I18" s="22">
        <f>'Házis.kiadás arányos feloszt.'!W10</f>
        <v>38240.112696179654</v>
      </c>
      <c r="J18" s="15" t="s">
        <v>44</v>
      </c>
      <c r="K18" s="15"/>
      <c r="L18" s="141"/>
      <c r="M18" s="110" t="s">
        <v>45</v>
      </c>
      <c r="N18" s="110"/>
      <c r="O18" s="110"/>
      <c r="P18" s="110"/>
      <c r="Q18" s="110" t="s">
        <v>45</v>
      </c>
      <c r="R18" s="110"/>
      <c r="S18" s="17" t="s">
        <v>44</v>
      </c>
      <c r="T18" s="18" t="s">
        <v>44</v>
      </c>
      <c r="U18" s="125">
        <f t="shared" si="3"/>
        <v>-38037.163</v>
      </c>
      <c r="V18" s="146">
        <f t="shared" si="4"/>
        <v>-195811.55030382035</v>
      </c>
      <c r="W18" s="70">
        <f t="shared" si="5"/>
        <v>-196</v>
      </c>
      <c r="X18" s="49"/>
    </row>
    <row r="19" spans="1:25" ht="16.5" x14ac:dyDescent="0.3">
      <c r="A19" s="14" t="s">
        <v>6</v>
      </c>
      <c r="B19" s="109">
        <v>600</v>
      </c>
      <c r="C19" s="110" t="s">
        <v>45</v>
      </c>
      <c r="D19" s="151"/>
      <c r="E19" s="110" t="s">
        <v>45</v>
      </c>
      <c r="F19" s="65"/>
      <c r="G19" s="46" t="s">
        <v>44</v>
      </c>
      <c r="H19" s="85">
        <f>'Házis.kiadás arányos feloszt.'!O11</f>
        <v>6.56</v>
      </c>
      <c r="I19" s="47">
        <f>'Házis.kiadás arányos feloszt.'!W11</f>
        <v>87860.504761904478</v>
      </c>
      <c r="J19" s="46" t="s">
        <v>44</v>
      </c>
      <c r="K19" s="46">
        <f>Jelzőrendsz.!B6</f>
        <v>6</v>
      </c>
      <c r="L19" s="142">
        <f>Jelzőrendsz.!N6</f>
        <v>74606.57142857142</v>
      </c>
      <c r="M19" s="110" t="s">
        <v>45</v>
      </c>
      <c r="N19" s="110"/>
      <c r="O19" s="110"/>
      <c r="P19" s="110"/>
      <c r="Q19" s="110" t="s">
        <v>45</v>
      </c>
      <c r="R19" s="110"/>
      <c r="S19" s="17" t="s">
        <v>44</v>
      </c>
      <c r="T19" s="18" t="s">
        <v>44</v>
      </c>
      <c r="U19" s="125">
        <f t="shared" si="3"/>
        <v>-24942.401999999998</v>
      </c>
      <c r="V19" s="146">
        <f t="shared" si="4"/>
        <v>137524.6741904759</v>
      </c>
      <c r="W19" s="70">
        <f t="shared" si="5"/>
        <v>0</v>
      </c>
      <c r="X19" s="49"/>
    </row>
    <row r="20" spans="1:25" ht="16.5" x14ac:dyDescent="0.3">
      <c r="A20" s="14" t="s">
        <v>7</v>
      </c>
      <c r="B20" s="109">
        <v>163</v>
      </c>
      <c r="C20" s="15" t="s">
        <v>44</v>
      </c>
      <c r="D20" s="150">
        <f t="shared" ref="D20:D23" si="6">ROUND($D$11/$B$42*B20,0)</f>
        <v>5063</v>
      </c>
      <c r="E20" s="19" t="s">
        <v>44</v>
      </c>
      <c r="F20" s="66"/>
      <c r="G20" s="15" t="s">
        <v>44</v>
      </c>
      <c r="H20" s="84"/>
      <c r="I20" s="22"/>
      <c r="J20" s="15" t="s">
        <v>44</v>
      </c>
      <c r="K20" s="15"/>
      <c r="L20" s="141"/>
      <c r="M20" s="110" t="s">
        <v>45</v>
      </c>
      <c r="N20" s="110"/>
      <c r="O20" s="110"/>
      <c r="P20" s="110"/>
      <c r="Q20" s="110" t="s">
        <v>45</v>
      </c>
      <c r="R20" s="110"/>
      <c r="S20" s="17" t="s">
        <v>44</v>
      </c>
      <c r="T20" s="18" t="s">
        <v>44</v>
      </c>
      <c r="U20" s="125">
        <f t="shared" si="3"/>
        <v>-6776.0190000000002</v>
      </c>
      <c r="V20" s="146">
        <f t="shared" si="4"/>
        <v>-1713.0190000000002</v>
      </c>
      <c r="W20" s="70">
        <v>0</v>
      </c>
      <c r="X20" s="49"/>
    </row>
    <row r="21" spans="1:25" ht="16.5" x14ac:dyDescent="0.3">
      <c r="A21" s="14" t="s">
        <v>8</v>
      </c>
      <c r="B21" s="109">
        <v>610</v>
      </c>
      <c r="C21" s="15" t="s">
        <v>44</v>
      </c>
      <c r="D21" s="150">
        <f t="shared" si="6"/>
        <v>18948</v>
      </c>
      <c r="E21" s="15" t="s">
        <v>44</v>
      </c>
      <c r="F21" s="66"/>
      <c r="G21" s="15" t="s">
        <v>44</v>
      </c>
      <c r="H21" s="84"/>
      <c r="I21" s="16"/>
      <c r="J21" s="15" t="s">
        <v>44</v>
      </c>
      <c r="K21" s="15"/>
      <c r="L21" s="141"/>
      <c r="M21" s="110" t="s">
        <v>45</v>
      </c>
      <c r="N21" s="110"/>
      <c r="O21" s="110"/>
      <c r="P21" s="110"/>
      <c r="Q21" s="110" t="s">
        <v>45</v>
      </c>
      <c r="R21" s="110"/>
      <c r="S21" s="17" t="s">
        <v>44</v>
      </c>
      <c r="T21" s="18" t="s">
        <v>44</v>
      </c>
      <c r="U21" s="125">
        <f t="shared" si="3"/>
        <v>-25358.109</v>
      </c>
      <c r="V21" s="146">
        <f t="shared" si="4"/>
        <v>-6410.1090000000004</v>
      </c>
      <c r="W21" s="70">
        <v>0</v>
      </c>
      <c r="X21" s="49"/>
    </row>
    <row r="22" spans="1:25" ht="16.5" x14ac:dyDescent="0.3">
      <c r="A22" s="14" t="s">
        <v>9</v>
      </c>
      <c r="B22" s="109">
        <v>488</v>
      </c>
      <c r="C22" s="15" t="s">
        <v>44</v>
      </c>
      <c r="D22" s="150">
        <f t="shared" si="6"/>
        <v>15159</v>
      </c>
      <c r="E22" s="15" t="s">
        <v>44</v>
      </c>
      <c r="F22" s="68"/>
      <c r="G22" s="15" t="s">
        <v>44</v>
      </c>
      <c r="H22" s="84"/>
      <c r="I22" s="16"/>
      <c r="J22" s="15" t="s">
        <v>44</v>
      </c>
      <c r="K22" s="15"/>
      <c r="L22" s="141"/>
      <c r="M22" s="110" t="s">
        <v>45</v>
      </c>
      <c r="N22" s="110"/>
      <c r="O22" s="110"/>
      <c r="P22" s="110"/>
      <c r="Q22" s="110" t="s">
        <v>45</v>
      </c>
      <c r="R22" s="110"/>
      <c r="S22" s="17" t="s">
        <v>44</v>
      </c>
      <c r="T22" s="18" t="s">
        <v>44</v>
      </c>
      <c r="U22" s="125">
        <f t="shared" si="3"/>
        <v>-20286.487000000001</v>
      </c>
      <c r="V22" s="146">
        <f t="shared" si="4"/>
        <v>-5127.487000000001</v>
      </c>
      <c r="W22" s="70">
        <v>0</v>
      </c>
      <c r="X22" s="49"/>
    </row>
    <row r="23" spans="1:25" ht="16.5" x14ac:dyDescent="0.3">
      <c r="A23" s="14" t="s">
        <v>10</v>
      </c>
      <c r="B23" s="109">
        <v>1622</v>
      </c>
      <c r="C23" s="15" t="s">
        <v>44</v>
      </c>
      <c r="D23" s="150">
        <f t="shared" si="6"/>
        <v>50384</v>
      </c>
      <c r="E23" s="15" t="s">
        <v>44</v>
      </c>
      <c r="F23" s="66"/>
      <c r="G23" s="15" t="s">
        <v>44</v>
      </c>
      <c r="H23" s="84">
        <f>'Házis.kiadás arányos feloszt.'!O12</f>
        <v>1.1000000000000001</v>
      </c>
      <c r="I23" s="16">
        <f>'Házis.kiadás arányos feloszt.'!W12</f>
        <v>20158.508509745472</v>
      </c>
      <c r="J23" s="15" t="s">
        <v>44</v>
      </c>
      <c r="K23" s="15">
        <f>Jelzőrendsz.!B8</f>
        <v>1</v>
      </c>
      <c r="L23" s="141">
        <f>Jelzőrendsz.!N8</f>
        <v>-175685.57142857142</v>
      </c>
      <c r="M23" s="110" t="s">
        <v>45</v>
      </c>
      <c r="N23" s="110"/>
      <c r="O23" s="110"/>
      <c r="P23" s="110"/>
      <c r="Q23" s="110" t="s">
        <v>45</v>
      </c>
      <c r="R23" s="110"/>
      <c r="S23" s="17" t="s">
        <v>44</v>
      </c>
      <c r="T23" s="18" t="s">
        <v>44</v>
      </c>
      <c r="U23" s="125">
        <f t="shared" si="3"/>
        <v>-67427.626999999993</v>
      </c>
      <c r="V23" s="146">
        <f t="shared" si="4"/>
        <v>-172570.68991882593</v>
      </c>
      <c r="W23" s="70">
        <f t="shared" si="5"/>
        <v>-173</v>
      </c>
      <c r="X23" s="49"/>
    </row>
    <row r="24" spans="1:25" ht="16.5" x14ac:dyDescent="0.3">
      <c r="A24" s="14" t="s">
        <v>11</v>
      </c>
      <c r="B24" s="109">
        <v>664</v>
      </c>
      <c r="C24" s="110" t="s">
        <v>45</v>
      </c>
      <c r="D24" s="151"/>
      <c r="E24" s="110" t="s">
        <v>45</v>
      </c>
      <c r="F24" s="65"/>
      <c r="G24" s="46" t="s">
        <v>44</v>
      </c>
      <c r="H24" s="86">
        <f>'Házis.kiadás arányos feloszt.'!O14</f>
        <v>7.07</v>
      </c>
      <c r="I24" s="47">
        <f>'Házis.kiadás arányos feloszt.'!W14</f>
        <v>-115.91523809544742</v>
      </c>
      <c r="J24" s="46" t="s">
        <v>44</v>
      </c>
      <c r="K24" s="46"/>
      <c r="L24" s="142"/>
      <c r="M24" s="110" t="s">
        <v>45</v>
      </c>
      <c r="N24" s="110"/>
      <c r="O24" s="110"/>
      <c r="P24" s="110"/>
      <c r="Q24" s="110" t="s">
        <v>45</v>
      </c>
      <c r="R24" s="110"/>
      <c r="S24" s="17" t="s">
        <v>44</v>
      </c>
      <c r="T24" s="18" t="s">
        <v>44</v>
      </c>
      <c r="U24" s="125">
        <f t="shared" si="3"/>
        <v>-27602.924999999999</v>
      </c>
      <c r="V24" s="146">
        <f t="shared" si="4"/>
        <v>-27718.840238095447</v>
      </c>
      <c r="W24" s="70">
        <f t="shared" si="5"/>
        <v>-28</v>
      </c>
      <c r="X24" s="49"/>
    </row>
    <row r="25" spans="1:25" ht="16.5" x14ac:dyDescent="0.3">
      <c r="A25" s="14" t="s">
        <v>12</v>
      </c>
      <c r="B25" s="109">
        <v>684</v>
      </c>
      <c r="C25" s="15" t="s">
        <v>44</v>
      </c>
      <c r="D25" s="150">
        <f t="shared" ref="D25:D31" si="7">ROUND($D$11/$B$42*B25,0)</f>
        <v>21247</v>
      </c>
      <c r="E25" s="15" t="s">
        <v>44</v>
      </c>
      <c r="F25" s="64"/>
      <c r="G25" s="15" t="s">
        <v>44</v>
      </c>
      <c r="H25" s="84"/>
      <c r="I25" s="16"/>
      <c r="J25" s="15" t="s">
        <v>44</v>
      </c>
      <c r="K25" s="15">
        <f>Jelzőrendsz.!B9</f>
        <v>1</v>
      </c>
      <c r="L25" s="141">
        <f>Jelzőrendsz.!N9</f>
        <v>-175685.57142857142</v>
      </c>
      <c r="M25" s="110" t="s">
        <v>45</v>
      </c>
      <c r="N25" s="110"/>
      <c r="O25" s="110"/>
      <c r="P25" s="110"/>
      <c r="Q25" s="110" t="s">
        <v>45</v>
      </c>
      <c r="R25" s="110"/>
      <c r="S25" s="17" t="s">
        <v>44</v>
      </c>
      <c r="T25" s="18" t="s">
        <v>44</v>
      </c>
      <c r="U25" s="125">
        <f t="shared" si="3"/>
        <v>-28434.338</v>
      </c>
      <c r="V25" s="146">
        <f t="shared" si="4"/>
        <v>-182872.90942857141</v>
      </c>
      <c r="W25" s="70">
        <f t="shared" si="5"/>
        <v>-183</v>
      </c>
      <c r="X25" s="49"/>
    </row>
    <row r="26" spans="1:25" ht="16.5" x14ac:dyDescent="0.3">
      <c r="A26" s="14" t="s">
        <v>13</v>
      </c>
      <c r="B26" s="109">
        <v>340</v>
      </c>
      <c r="C26" s="15" t="s">
        <v>44</v>
      </c>
      <c r="D26" s="150">
        <f t="shared" si="7"/>
        <v>10561</v>
      </c>
      <c r="E26" s="15" t="s">
        <v>44</v>
      </c>
      <c r="F26" s="64"/>
      <c r="G26" s="15" t="s">
        <v>44</v>
      </c>
      <c r="H26" s="84">
        <f>'Házis.kiadás arányos feloszt.'!O13</f>
        <v>0.55000000000000004</v>
      </c>
      <c r="I26" s="16">
        <f>'Házis.kiadás arányos feloszt.'!W13</f>
        <v>19132.488942872675</v>
      </c>
      <c r="J26" s="15" t="s">
        <v>44</v>
      </c>
      <c r="K26" s="15"/>
      <c r="L26" s="141"/>
      <c r="M26" s="110" t="s">
        <v>45</v>
      </c>
      <c r="N26" s="110"/>
      <c r="O26" s="110"/>
      <c r="P26" s="110"/>
      <c r="Q26" s="110" t="s">
        <v>45</v>
      </c>
      <c r="R26" s="110"/>
      <c r="S26" s="17" t="s">
        <v>44</v>
      </c>
      <c r="T26" s="18" t="s">
        <v>44</v>
      </c>
      <c r="U26" s="125">
        <f t="shared" si="3"/>
        <v>-14134.028</v>
      </c>
      <c r="V26" s="146">
        <f t="shared" si="4"/>
        <v>15559.460942872674</v>
      </c>
      <c r="W26" s="70">
        <f t="shared" si="5"/>
        <v>0</v>
      </c>
      <c r="X26" s="49"/>
    </row>
    <row r="27" spans="1:25" ht="16.5" x14ac:dyDescent="0.3">
      <c r="A27" s="14" t="s">
        <v>14</v>
      </c>
      <c r="B27" s="109">
        <v>382</v>
      </c>
      <c r="C27" s="15" t="s">
        <v>44</v>
      </c>
      <c r="D27" s="150">
        <f t="shared" si="7"/>
        <v>11866</v>
      </c>
      <c r="E27" s="15" t="s">
        <v>44</v>
      </c>
      <c r="F27" s="64"/>
      <c r="G27" s="15" t="s">
        <v>44</v>
      </c>
      <c r="H27" s="84"/>
      <c r="I27" s="16"/>
      <c r="J27" s="15" t="s">
        <v>44</v>
      </c>
      <c r="K27" s="15"/>
      <c r="L27" s="141"/>
      <c r="M27" s="110" t="s">
        <v>45</v>
      </c>
      <c r="N27" s="110"/>
      <c r="O27" s="110"/>
      <c r="P27" s="110"/>
      <c r="Q27" s="110" t="s">
        <v>45</v>
      </c>
      <c r="R27" s="110"/>
      <c r="S27" s="17" t="s">
        <v>44</v>
      </c>
      <c r="T27" s="18" t="s">
        <v>44</v>
      </c>
      <c r="U27" s="125">
        <f t="shared" si="3"/>
        <v>-15879.995999999999</v>
      </c>
      <c r="V27" s="146">
        <f t="shared" si="4"/>
        <v>-4013.9959999999992</v>
      </c>
      <c r="W27" s="70">
        <v>0</v>
      </c>
      <c r="X27" s="49"/>
    </row>
    <row r="28" spans="1:25" ht="16.5" x14ac:dyDescent="0.3">
      <c r="A28" s="14" t="s">
        <v>15</v>
      </c>
      <c r="B28" s="109">
        <v>505</v>
      </c>
      <c r="C28" s="15" t="s">
        <v>44</v>
      </c>
      <c r="D28" s="150">
        <f t="shared" si="7"/>
        <v>15687</v>
      </c>
      <c r="E28" s="15" t="s">
        <v>44</v>
      </c>
      <c r="F28" s="64"/>
      <c r="G28" s="15" t="s">
        <v>44</v>
      </c>
      <c r="H28" s="84">
        <f>'Házis.kiadás arányos feloszt.'!O15</f>
        <v>7.29</v>
      </c>
      <c r="I28" s="22">
        <f>'Házis.kiadás arányos feloszt.'!W15</f>
        <v>475790.37999999989</v>
      </c>
      <c r="J28" s="15" t="s">
        <v>44</v>
      </c>
      <c r="K28" s="15"/>
      <c r="L28" s="141"/>
      <c r="M28" s="110" t="s">
        <v>45</v>
      </c>
      <c r="N28" s="110"/>
      <c r="O28" s="110"/>
      <c r="P28" s="110"/>
      <c r="Q28" s="110" t="s">
        <v>45</v>
      </c>
      <c r="R28" s="110"/>
      <c r="S28" s="17" t="s">
        <v>44</v>
      </c>
      <c r="T28" s="18" t="s">
        <v>44</v>
      </c>
      <c r="U28" s="125">
        <f t="shared" si="3"/>
        <v>-20993.187999999998</v>
      </c>
      <c r="V28" s="146">
        <f t="shared" si="4"/>
        <v>470484.19199999986</v>
      </c>
      <c r="W28" s="70">
        <f t="shared" si="5"/>
        <v>0</v>
      </c>
      <c r="X28" s="49"/>
    </row>
    <row r="29" spans="1:25" ht="16.5" x14ac:dyDescent="0.3">
      <c r="A29" s="14" t="s">
        <v>16</v>
      </c>
      <c r="B29" s="109">
        <v>731</v>
      </c>
      <c r="C29" s="15" t="s">
        <v>44</v>
      </c>
      <c r="D29" s="150">
        <f t="shared" si="7"/>
        <v>22707</v>
      </c>
      <c r="E29" s="15" t="s">
        <v>44</v>
      </c>
      <c r="F29" s="64"/>
      <c r="G29" s="20" t="s">
        <v>44</v>
      </c>
      <c r="H29" s="86"/>
      <c r="I29" s="22"/>
      <c r="J29" s="20" t="s">
        <v>44</v>
      </c>
      <c r="K29" s="20"/>
      <c r="L29" s="143"/>
      <c r="M29" s="110" t="s">
        <v>45</v>
      </c>
      <c r="N29" s="110"/>
      <c r="O29" s="110"/>
      <c r="P29" s="110"/>
      <c r="Q29" s="110" t="s">
        <v>45</v>
      </c>
      <c r="R29" s="110"/>
      <c r="S29" s="17" t="s">
        <v>44</v>
      </c>
      <c r="T29" s="18" t="s">
        <v>44</v>
      </c>
      <c r="U29" s="125">
        <f t="shared" si="3"/>
        <v>-30388.16</v>
      </c>
      <c r="V29" s="146">
        <f t="shared" si="4"/>
        <v>-7681.16</v>
      </c>
      <c r="W29" s="70">
        <v>0</v>
      </c>
      <c r="X29" s="49"/>
    </row>
    <row r="30" spans="1:25" ht="16.5" x14ac:dyDescent="0.3">
      <c r="A30" s="14" t="s">
        <v>17</v>
      </c>
      <c r="B30" s="109">
        <v>334</v>
      </c>
      <c r="C30" s="15" t="s">
        <v>44</v>
      </c>
      <c r="D30" s="150">
        <f t="shared" si="7"/>
        <v>10375</v>
      </c>
      <c r="E30" s="15" t="s">
        <v>44</v>
      </c>
      <c r="F30" s="64"/>
      <c r="G30" s="15" t="s">
        <v>44</v>
      </c>
      <c r="H30" s="84">
        <f>'Házis.kiadás arányos feloszt.'!O16</f>
        <v>1.29</v>
      </c>
      <c r="I30" s="22">
        <f>'Házis.kiadás arányos feloszt.'!W16</f>
        <v>85940.221935101086</v>
      </c>
      <c r="J30" s="15" t="s">
        <v>44</v>
      </c>
      <c r="K30" s="15"/>
      <c r="L30" s="141"/>
      <c r="M30" s="110" t="s">
        <v>45</v>
      </c>
      <c r="N30" s="110"/>
      <c r="O30" s="110"/>
      <c r="P30" s="110"/>
      <c r="Q30" s="110" t="s">
        <v>45</v>
      </c>
      <c r="R30" s="110"/>
      <c r="S30" s="17" t="s">
        <v>44</v>
      </c>
      <c r="T30" s="18" t="s">
        <v>44</v>
      </c>
      <c r="U30" s="125">
        <f t="shared" si="3"/>
        <v>-13884.603999999999</v>
      </c>
      <c r="V30" s="146">
        <f t="shared" si="4"/>
        <v>82430.617935101094</v>
      </c>
      <c r="W30" s="70">
        <f t="shared" si="5"/>
        <v>0</v>
      </c>
      <c r="X30" s="49"/>
    </row>
    <row r="31" spans="1:25" ht="16.5" x14ac:dyDescent="0.3">
      <c r="A31" s="14" t="s">
        <v>18</v>
      </c>
      <c r="B31" s="109">
        <v>337</v>
      </c>
      <c r="C31" s="15" t="s">
        <v>44</v>
      </c>
      <c r="D31" s="150">
        <f t="shared" si="7"/>
        <v>10468</v>
      </c>
      <c r="E31" s="15" t="s">
        <v>44</v>
      </c>
      <c r="F31" s="64"/>
      <c r="G31" s="15" t="s">
        <v>44</v>
      </c>
      <c r="H31" s="84"/>
      <c r="I31" s="16"/>
      <c r="J31" s="15" t="s">
        <v>44</v>
      </c>
      <c r="K31" s="15"/>
      <c r="L31" s="141"/>
      <c r="M31" s="110" t="s">
        <v>45</v>
      </c>
      <c r="N31" s="110"/>
      <c r="O31" s="110"/>
      <c r="P31" s="110"/>
      <c r="Q31" s="110" t="s">
        <v>45</v>
      </c>
      <c r="R31" s="110"/>
      <c r="S31" s="17" t="s">
        <v>44</v>
      </c>
      <c r="T31" s="18" t="s">
        <v>44</v>
      </c>
      <c r="U31" s="125">
        <f t="shared" si="3"/>
        <v>-14009.316000000001</v>
      </c>
      <c r="V31" s="146">
        <f t="shared" si="4"/>
        <v>-3541.3160000000007</v>
      </c>
      <c r="W31" s="70">
        <v>0</v>
      </c>
      <c r="X31" s="49"/>
    </row>
    <row r="32" spans="1:25" ht="16.5" x14ac:dyDescent="0.3">
      <c r="A32" s="14" t="s">
        <v>19</v>
      </c>
      <c r="B32" s="109">
        <v>53</v>
      </c>
      <c r="C32" s="110" t="s">
        <v>45</v>
      </c>
      <c r="D32" s="151"/>
      <c r="E32" s="110" t="s">
        <v>45</v>
      </c>
      <c r="F32" s="65"/>
      <c r="G32" s="46" t="s">
        <v>44</v>
      </c>
      <c r="H32" s="86"/>
      <c r="I32" s="47"/>
      <c r="J32" s="46" t="s">
        <v>44</v>
      </c>
      <c r="K32" s="46"/>
      <c r="L32" s="142"/>
      <c r="M32" s="110" t="s">
        <v>45</v>
      </c>
      <c r="N32" s="110"/>
      <c r="O32" s="110"/>
      <c r="P32" s="110"/>
      <c r="Q32" s="110" t="s">
        <v>45</v>
      </c>
      <c r="R32" s="110"/>
      <c r="S32" s="17" t="s">
        <v>44</v>
      </c>
      <c r="T32" s="18" t="s">
        <v>44</v>
      </c>
      <c r="U32" s="125">
        <f t="shared" si="3"/>
        <v>-2203.2460000000001</v>
      </c>
      <c r="V32" s="146">
        <f t="shared" si="4"/>
        <v>-2203.2460000000001</v>
      </c>
      <c r="W32" s="70">
        <v>0</v>
      </c>
      <c r="X32" s="49"/>
    </row>
    <row r="33" spans="1:25" ht="16.5" x14ac:dyDescent="0.3">
      <c r="A33" s="14" t="s">
        <v>20</v>
      </c>
      <c r="B33" s="109">
        <v>2195</v>
      </c>
      <c r="C33" s="15" t="s">
        <v>44</v>
      </c>
      <c r="D33" s="150">
        <f t="shared" ref="D33:D37" si="8">ROUND($D$11/$B$42*B33,0)</f>
        <v>68183</v>
      </c>
      <c r="E33" s="46" t="s">
        <v>45</v>
      </c>
      <c r="F33" s="113"/>
      <c r="G33" s="110" t="s">
        <v>45</v>
      </c>
      <c r="H33" s="110"/>
      <c r="I33" s="110"/>
      <c r="J33" s="15" t="s">
        <v>44</v>
      </c>
      <c r="K33" s="15">
        <f>Jelzőrendsz.!B10</f>
        <v>6</v>
      </c>
      <c r="L33" s="141">
        <f>Jelzőrendsz.!N10</f>
        <v>145886.57142857142</v>
      </c>
      <c r="M33" s="110" t="s">
        <v>45</v>
      </c>
      <c r="N33" s="110"/>
      <c r="O33" s="110"/>
      <c r="P33" s="110"/>
      <c r="Q33" s="110" t="s">
        <v>45</v>
      </c>
      <c r="R33" s="110"/>
      <c r="S33" s="17" t="s">
        <v>44</v>
      </c>
      <c r="T33" s="18" t="s">
        <v>44</v>
      </c>
      <c r="U33" s="125">
        <f t="shared" si="3"/>
        <v>-91247.620999999999</v>
      </c>
      <c r="V33" s="146">
        <f t="shared" si="4"/>
        <v>122821.95042857142</v>
      </c>
      <c r="W33" s="70">
        <f t="shared" si="5"/>
        <v>0</v>
      </c>
      <c r="X33" s="49"/>
    </row>
    <row r="34" spans="1:25" ht="16.5" x14ac:dyDescent="0.3">
      <c r="A34" s="14" t="s">
        <v>21</v>
      </c>
      <c r="B34" s="109">
        <v>151</v>
      </c>
      <c r="C34" s="15" t="s">
        <v>44</v>
      </c>
      <c r="D34" s="150">
        <f t="shared" si="8"/>
        <v>4691</v>
      </c>
      <c r="E34" s="15" t="s">
        <v>44</v>
      </c>
      <c r="F34" s="64"/>
      <c r="G34" s="15" t="s">
        <v>44</v>
      </c>
      <c r="H34" s="84"/>
      <c r="I34" s="16"/>
      <c r="J34" s="15" t="s">
        <v>44</v>
      </c>
      <c r="K34" s="15"/>
      <c r="L34" s="141"/>
      <c r="M34" s="110" t="s">
        <v>45</v>
      </c>
      <c r="N34" s="110"/>
      <c r="O34" s="110"/>
      <c r="P34" s="110"/>
      <c r="Q34" s="110" t="s">
        <v>45</v>
      </c>
      <c r="R34" s="110"/>
      <c r="S34" s="17" t="s">
        <v>44</v>
      </c>
      <c r="T34" s="18" t="s">
        <v>44</v>
      </c>
      <c r="U34" s="125">
        <f t="shared" si="3"/>
        <v>-6277.1710000000003</v>
      </c>
      <c r="V34" s="146">
        <f t="shared" si="4"/>
        <v>-1586.1710000000003</v>
      </c>
      <c r="W34" s="70">
        <v>0</v>
      </c>
      <c r="X34" s="49"/>
    </row>
    <row r="35" spans="1:25" ht="16.5" x14ac:dyDescent="0.3">
      <c r="A35" s="14" t="s">
        <v>22</v>
      </c>
      <c r="B35" s="109">
        <v>1354</v>
      </c>
      <c r="C35" s="15" t="s">
        <v>44</v>
      </c>
      <c r="D35" s="150">
        <f t="shared" si="8"/>
        <v>42059</v>
      </c>
      <c r="E35" s="15" t="s">
        <v>44</v>
      </c>
      <c r="F35" s="64"/>
      <c r="G35" s="15" t="s">
        <v>44</v>
      </c>
      <c r="H35" s="84">
        <f>'Házis.kiadás arányos feloszt.'!O17</f>
        <v>6.8</v>
      </c>
      <c r="I35" s="22">
        <f>'Házis.kiadás arányos feloszt.'!W17</f>
        <v>426939.68176642433</v>
      </c>
      <c r="J35" s="15" t="s">
        <v>44</v>
      </c>
      <c r="K35" s="15">
        <f>Jelzőrendsz.!B11</f>
        <v>1</v>
      </c>
      <c r="L35" s="141">
        <f>Jelzőrendsz.!N11</f>
        <v>-175685.57142857142</v>
      </c>
      <c r="M35" s="110" t="s">
        <v>45</v>
      </c>
      <c r="N35" s="110"/>
      <c r="O35" s="110"/>
      <c r="P35" s="110"/>
      <c r="Q35" s="110" t="s">
        <v>45</v>
      </c>
      <c r="R35" s="110"/>
      <c r="S35" s="17" t="s">
        <v>44</v>
      </c>
      <c r="T35" s="18" t="s">
        <v>44</v>
      </c>
      <c r="U35" s="125">
        <f t="shared" si="3"/>
        <v>-56286.688000000002</v>
      </c>
      <c r="V35" s="146">
        <f t="shared" si="4"/>
        <v>237026.42233785291</v>
      </c>
      <c r="W35" s="70">
        <f t="shared" si="5"/>
        <v>0</v>
      </c>
      <c r="X35" s="49"/>
    </row>
    <row r="36" spans="1:25" ht="16.5" x14ac:dyDescent="0.3">
      <c r="A36" s="14" t="s">
        <v>23</v>
      </c>
      <c r="B36" s="109">
        <v>788</v>
      </c>
      <c r="C36" s="15" t="s">
        <v>44</v>
      </c>
      <c r="D36" s="150">
        <f t="shared" si="8"/>
        <v>24478</v>
      </c>
      <c r="E36" s="46" t="s">
        <v>45</v>
      </c>
      <c r="F36" s="113"/>
      <c r="G36" s="110" t="s">
        <v>45</v>
      </c>
      <c r="H36" s="110"/>
      <c r="I36" s="110"/>
      <c r="J36" s="15" t="s">
        <v>44</v>
      </c>
      <c r="K36" s="15">
        <f>Jelzőrendsz.!B12</f>
        <v>2</v>
      </c>
      <c r="L36" s="141">
        <f>Jelzőrendsz.!N12</f>
        <v>-111371.14285714286</v>
      </c>
      <c r="M36" s="110" t="s">
        <v>45</v>
      </c>
      <c r="N36" s="110"/>
      <c r="O36" s="110"/>
      <c r="P36" s="110"/>
      <c r="Q36" s="110" t="s">
        <v>45</v>
      </c>
      <c r="R36" s="110"/>
      <c r="S36" s="17" t="s">
        <v>44</v>
      </c>
      <c r="T36" s="18" t="s">
        <v>44</v>
      </c>
      <c r="U36" s="125">
        <f t="shared" si="3"/>
        <v>-32757.687999999998</v>
      </c>
      <c r="V36" s="146">
        <f t="shared" si="4"/>
        <v>-119650.83085714285</v>
      </c>
      <c r="W36" s="70">
        <f t="shared" si="5"/>
        <v>-120</v>
      </c>
      <c r="X36" s="49"/>
    </row>
    <row r="37" spans="1:25" ht="16.5" x14ac:dyDescent="0.3">
      <c r="A37" s="14" t="s">
        <v>24</v>
      </c>
      <c r="B37" s="109">
        <v>303</v>
      </c>
      <c r="C37" s="15" t="s">
        <v>44</v>
      </c>
      <c r="D37" s="150">
        <f t="shared" si="8"/>
        <v>9412</v>
      </c>
      <c r="E37" s="15" t="s">
        <v>44</v>
      </c>
      <c r="F37" s="64"/>
      <c r="G37" s="15" t="s">
        <v>44</v>
      </c>
      <c r="H37" s="84"/>
      <c r="I37" s="16"/>
      <c r="J37" s="15" t="s">
        <v>44</v>
      </c>
      <c r="K37" s="15"/>
      <c r="L37" s="141"/>
      <c r="M37" s="110" t="s">
        <v>45</v>
      </c>
      <c r="N37" s="110"/>
      <c r="O37" s="110"/>
      <c r="P37" s="110"/>
      <c r="Q37" s="110" t="s">
        <v>45</v>
      </c>
      <c r="R37" s="110"/>
      <c r="S37" s="17" t="s">
        <v>44</v>
      </c>
      <c r="T37" s="18" t="s">
        <v>44</v>
      </c>
      <c r="U37" s="125">
        <f t="shared" si="3"/>
        <v>-12595.913</v>
      </c>
      <c r="V37" s="146">
        <f t="shared" si="4"/>
        <v>-3183.9130000000005</v>
      </c>
      <c r="W37" s="70">
        <v>0</v>
      </c>
      <c r="X37" s="49"/>
    </row>
    <row r="38" spans="1:25" ht="16.5" x14ac:dyDescent="0.3">
      <c r="A38" s="21" t="s">
        <v>25</v>
      </c>
      <c r="B38" s="112">
        <v>1997</v>
      </c>
      <c r="C38" s="110" t="s">
        <v>45</v>
      </c>
      <c r="D38" s="111"/>
      <c r="E38" s="110" t="s">
        <v>45</v>
      </c>
      <c r="F38" s="65"/>
      <c r="G38" s="46" t="s">
        <v>44</v>
      </c>
      <c r="H38" s="86">
        <f>'Házis.kiadás arányos feloszt.'!O18</f>
        <v>6.69</v>
      </c>
      <c r="I38" s="47">
        <f>'Házis.kiadás arányos feloszt.'!W18</f>
        <v>4605.660000000149</v>
      </c>
      <c r="J38" s="46" t="s">
        <v>44</v>
      </c>
      <c r="K38" s="46"/>
      <c r="L38" s="142"/>
      <c r="M38" s="110" t="s">
        <v>45</v>
      </c>
      <c r="N38" s="110"/>
      <c r="O38" s="110"/>
      <c r="P38" s="110"/>
      <c r="Q38" s="110" t="s">
        <v>45</v>
      </c>
      <c r="R38" s="110"/>
      <c r="S38" s="17" t="s">
        <v>44</v>
      </c>
      <c r="T38" s="18" t="s">
        <v>44</v>
      </c>
      <c r="U38" s="125">
        <f t="shared" ref="U38" si="9">ROUND($U$11/$B$39*B38,0)</f>
        <v>-83017</v>
      </c>
      <c r="V38" s="146">
        <f t="shared" si="4"/>
        <v>-78411.339999999851</v>
      </c>
      <c r="W38" s="70">
        <f t="shared" si="5"/>
        <v>-78</v>
      </c>
      <c r="X38" s="49"/>
    </row>
    <row r="39" spans="1:25" ht="15.75" x14ac:dyDescent="0.25">
      <c r="A39" s="103" t="s">
        <v>26</v>
      </c>
      <c r="B39" s="104">
        <f>SUM(B14:B38)</f>
        <v>29390</v>
      </c>
      <c r="C39" s="105">
        <v>21</v>
      </c>
      <c r="D39" s="137">
        <f>SUM(D14:D38)</f>
        <v>810000</v>
      </c>
      <c r="E39" s="106">
        <v>19</v>
      </c>
      <c r="F39" s="137">
        <f>SUM(F14:F38)</f>
        <v>-1795500</v>
      </c>
      <c r="G39" s="106">
        <v>22</v>
      </c>
      <c r="H39" s="138">
        <f>SUM(H14:H38)</f>
        <v>120.00000000000003</v>
      </c>
      <c r="I39" s="138">
        <f>SUM(I14:I38)</f>
        <v>11740200.000000007</v>
      </c>
      <c r="J39" s="106">
        <v>25</v>
      </c>
      <c r="K39" s="106">
        <f>SUM(K14:K38)</f>
        <v>84</v>
      </c>
      <c r="L39" s="144">
        <f>SUM(L14:L38)</f>
        <v>-10351000.000000002</v>
      </c>
      <c r="M39" s="106">
        <v>1</v>
      </c>
      <c r="N39" s="137">
        <f>SUM(N14:N38)</f>
        <v>-16114360</v>
      </c>
      <c r="O39" s="137"/>
      <c r="P39" s="137">
        <f>SUM(P14:P38)</f>
        <v>-444010</v>
      </c>
      <c r="Q39" s="137"/>
      <c r="R39" s="137">
        <f>SUM(R14:R38)</f>
        <v>-5330600</v>
      </c>
      <c r="S39" s="107">
        <v>25</v>
      </c>
      <c r="T39" s="107">
        <v>25</v>
      </c>
      <c r="U39" s="126">
        <f>SUM(U14:U38)</f>
        <v>-1221762.3700000003</v>
      </c>
      <c r="V39" s="147">
        <f>D39+F39+I39+L39+U39+N39+P39+R39</f>
        <v>-22707032.369999994</v>
      </c>
      <c r="W39" s="108">
        <f>SUM(W14:W38)</f>
        <v>-22707</v>
      </c>
      <c r="X39" s="49"/>
    </row>
    <row r="40" spans="1:25" x14ac:dyDescent="0.25">
      <c r="I40" s="37"/>
      <c r="X40" s="148"/>
      <c r="Y40" s="23"/>
    </row>
    <row r="41" spans="1:25" x14ac:dyDescent="0.25">
      <c r="A41" s="24"/>
      <c r="V41" s="26"/>
    </row>
    <row r="42" spans="1:25" x14ac:dyDescent="0.25">
      <c r="A42" s="24"/>
      <c r="B42" s="30">
        <f>B39-B19-B32-B38-B24</f>
        <v>26076</v>
      </c>
      <c r="C42" s="30"/>
      <c r="D42" s="30"/>
      <c r="V42" s="37"/>
    </row>
    <row r="43" spans="1:25" x14ac:dyDescent="0.25">
      <c r="A43" s="24"/>
      <c r="B43" s="26"/>
      <c r="C43" s="26"/>
      <c r="D43" s="26"/>
      <c r="L43" s="120"/>
      <c r="N43" s="120"/>
      <c r="S43" t="s">
        <v>110</v>
      </c>
      <c r="T43" t="s">
        <v>111</v>
      </c>
      <c r="U43" s="26"/>
    </row>
    <row r="44" spans="1:25" x14ac:dyDescent="0.25">
      <c r="A44" s="24"/>
      <c r="B44" s="26"/>
      <c r="C44" s="26"/>
      <c r="D44" s="26"/>
      <c r="L44" s="120"/>
      <c r="N44" s="120"/>
      <c r="T44" t="s">
        <v>112</v>
      </c>
      <c r="U44" s="87"/>
    </row>
    <row r="45" spans="1:25" x14ac:dyDescent="0.25">
      <c r="A45" s="24"/>
      <c r="B45" s="26"/>
      <c r="C45" s="26"/>
      <c r="D45" s="26"/>
      <c r="L45" s="120"/>
      <c r="N45" s="120"/>
      <c r="U45" s="26"/>
    </row>
    <row r="46" spans="1:25" x14ac:dyDescent="0.25">
      <c r="A46" s="24"/>
      <c r="B46" s="26"/>
      <c r="C46" s="26"/>
      <c r="D46" s="26"/>
      <c r="U46" s="26"/>
    </row>
    <row r="47" spans="1:25" x14ac:dyDescent="0.25">
      <c r="A47" s="24"/>
      <c r="B47" s="26"/>
      <c r="C47" s="26"/>
      <c r="D47" s="26"/>
      <c r="U47" s="26"/>
    </row>
    <row r="48" spans="1:25" x14ac:dyDescent="0.25">
      <c r="A48" s="27"/>
      <c r="B48" s="26"/>
      <c r="C48" s="26"/>
      <c r="D48" s="26"/>
      <c r="U48" s="26"/>
    </row>
    <row r="49" spans="4:4" x14ac:dyDescent="0.25">
      <c r="D49" s="26"/>
    </row>
  </sheetData>
  <mergeCells count="3">
    <mergeCell ref="A1:W1"/>
    <mergeCell ref="W12:W13"/>
    <mergeCell ref="X12:X13"/>
  </mergeCells>
  <pageMargins left="0.23622047244094491" right="0.23622047244094491" top="0.74803149606299213" bottom="0.74803149606299213" header="0.31496062992125984" footer="0.31496062992125984"/>
  <pageSetup paperSize="9" scale="3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25"/>
  <sheetViews>
    <sheetView topLeftCell="A94" zoomScaleNormal="100" zoomScaleSheetLayoutView="100" workbookViewId="0">
      <selection activeCell="L114" sqref="L114"/>
    </sheetView>
  </sheetViews>
  <sheetFormatPr defaultRowHeight="15" x14ac:dyDescent="0.25"/>
  <cols>
    <col min="1" max="2" width="15.7109375" customWidth="1"/>
    <col min="3" max="3" width="21.140625" customWidth="1"/>
    <col min="4" max="21" width="15.7109375" customWidth="1"/>
    <col min="22" max="22" width="18.42578125" bestFit="1" customWidth="1"/>
    <col min="23" max="23" width="15.7109375" customWidth="1"/>
    <col min="24" max="24" width="14" customWidth="1"/>
    <col min="25" max="25" width="12.42578125" customWidth="1"/>
  </cols>
  <sheetData>
    <row r="1" spans="1:25" ht="21" x14ac:dyDescent="0.35">
      <c r="A1" s="164" t="s">
        <v>139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</row>
    <row r="2" spans="1:25" x14ac:dyDescent="0.25">
      <c r="J2" s="32"/>
      <c r="K2" s="26"/>
      <c r="L2" s="26"/>
      <c r="M2" s="26"/>
      <c r="N2" s="26"/>
      <c r="O2" s="26"/>
      <c r="P2" s="26"/>
      <c r="Q2" s="26"/>
      <c r="R2" s="26"/>
      <c r="S2" s="26"/>
      <c r="T2" s="26"/>
      <c r="X2" t="s">
        <v>63</v>
      </c>
    </row>
    <row r="4" spans="1:25" ht="15.75" x14ac:dyDescent="0.25">
      <c r="A4" s="166" t="s">
        <v>46</v>
      </c>
      <c r="B4" s="167"/>
      <c r="C4" s="168"/>
      <c r="L4" s="169" t="s">
        <v>47</v>
      </c>
      <c r="M4" s="170"/>
      <c r="N4" s="170"/>
      <c r="O4" s="171"/>
    </row>
    <row r="6" spans="1:25" ht="25.5" customHeight="1" x14ac:dyDescent="0.25">
      <c r="A6" s="75" t="s">
        <v>1</v>
      </c>
      <c r="B6" s="33" t="s">
        <v>95</v>
      </c>
      <c r="J6" s="36"/>
    </row>
    <row r="7" spans="1:25" ht="15.75" x14ac:dyDescent="0.25">
      <c r="B7" s="33" t="s">
        <v>155</v>
      </c>
      <c r="J7" s="43"/>
      <c r="K7" s="34"/>
      <c r="L7" s="172" t="s">
        <v>50</v>
      </c>
      <c r="M7" s="174" t="s">
        <v>39</v>
      </c>
      <c r="N7" s="172" t="s">
        <v>81</v>
      </c>
      <c r="O7" s="172" t="s">
        <v>153</v>
      </c>
      <c r="P7" s="172" t="s">
        <v>100</v>
      </c>
      <c r="Q7" s="172" t="s">
        <v>101</v>
      </c>
      <c r="R7" s="172" t="s">
        <v>133</v>
      </c>
      <c r="S7" s="172" t="s">
        <v>134</v>
      </c>
      <c r="T7" s="172" t="s">
        <v>127</v>
      </c>
      <c r="U7" s="172" t="s">
        <v>102</v>
      </c>
      <c r="V7" s="174" t="s">
        <v>43</v>
      </c>
      <c r="W7" s="176" t="s">
        <v>51</v>
      </c>
      <c r="X7" s="114" t="s">
        <v>52</v>
      </c>
    </row>
    <row r="8" spans="1:25" ht="39.75" customHeight="1" x14ac:dyDescent="0.25">
      <c r="B8" s="33" t="s">
        <v>93</v>
      </c>
      <c r="F8">
        <v>1.18</v>
      </c>
      <c r="I8">
        <v>331968</v>
      </c>
      <c r="J8" s="43">
        <f>F8*I8</f>
        <v>391722.23999999999</v>
      </c>
      <c r="K8" s="34"/>
      <c r="L8" s="173"/>
      <c r="M8" s="175"/>
      <c r="N8" s="173"/>
      <c r="O8" s="173"/>
      <c r="P8" s="173"/>
      <c r="Q8" s="173"/>
      <c r="R8" s="173"/>
      <c r="S8" s="173"/>
      <c r="T8" s="173"/>
      <c r="U8" s="173"/>
      <c r="V8" s="175"/>
      <c r="W8" s="177"/>
      <c r="X8" s="114"/>
    </row>
    <row r="9" spans="1:25" ht="15.75" x14ac:dyDescent="0.25">
      <c r="B9" s="33" t="s">
        <v>94</v>
      </c>
      <c r="F9" s="37">
        <f>J8</f>
        <v>391722.23999999999</v>
      </c>
      <c r="G9" s="37"/>
      <c r="H9" s="37"/>
      <c r="I9">
        <v>0.13</v>
      </c>
      <c r="J9" s="43">
        <f>D9*E9+F9*I9</f>
        <v>50923.891199999998</v>
      </c>
      <c r="K9" s="34"/>
      <c r="L9" s="31" t="s">
        <v>1</v>
      </c>
      <c r="M9" s="139">
        <f>$M$23/$O$25*O9</f>
        <v>38510.120142872598</v>
      </c>
      <c r="N9" s="39">
        <v>1</v>
      </c>
      <c r="O9" s="136">
        <v>0.55000000000000004</v>
      </c>
      <c r="P9" s="39">
        <v>783310</v>
      </c>
      <c r="Q9" s="39">
        <f>O9*P9</f>
        <v>430820.50000000006</v>
      </c>
      <c r="R9" s="39"/>
      <c r="S9" s="39">
        <f t="shared" ref="S9" si="0">O9*R9</f>
        <v>0</v>
      </c>
      <c r="T9" s="39">
        <f t="shared" ref="T9:T19" si="1">ROUND($T$23/$N$23*O9,0)</f>
        <v>54083</v>
      </c>
      <c r="U9" s="39">
        <f>M9+Q9+T9+S9</f>
        <v>523413.62014287268</v>
      </c>
      <c r="V9" s="81">
        <f>J13</f>
        <v>504281.1312</v>
      </c>
      <c r="W9" s="80">
        <f t="shared" ref="W9:W19" si="2">U9-V9</f>
        <v>19132.488942872675</v>
      </c>
      <c r="X9" s="115">
        <f>ROUND(W9/1000,3)</f>
        <v>19.132000000000001</v>
      </c>
    </row>
    <row r="10" spans="1:25" ht="15.75" x14ac:dyDescent="0.25">
      <c r="B10" s="33" t="s">
        <v>53</v>
      </c>
      <c r="F10">
        <v>1.18</v>
      </c>
      <c r="I10">
        <v>5000</v>
      </c>
      <c r="J10" s="43">
        <f>D10*E10+F10*I10</f>
        <v>5900</v>
      </c>
      <c r="K10" s="34"/>
      <c r="L10" s="31" t="s">
        <v>5</v>
      </c>
      <c r="M10" s="139">
        <f>$M$23/$O$25*O10</f>
        <v>187649.3126961792</v>
      </c>
      <c r="N10" s="39">
        <v>4</v>
      </c>
      <c r="O10" s="136">
        <v>2.68</v>
      </c>
      <c r="P10" s="39">
        <v>783310</v>
      </c>
      <c r="Q10" s="39">
        <f>O10*P10</f>
        <v>2099270.8000000003</v>
      </c>
      <c r="R10" s="39"/>
      <c r="S10" s="39">
        <f>O10*R10</f>
        <v>0</v>
      </c>
      <c r="T10" s="39">
        <f t="shared" si="1"/>
        <v>263533</v>
      </c>
      <c r="U10" s="39">
        <f>M10+Q10+T10+S10</f>
        <v>2550453.1126961797</v>
      </c>
      <c r="V10" s="81">
        <f>J22</f>
        <v>2512213</v>
      </c>
      <c r="W10" s="80">
        <f t="shared" si="2"/>
        <v>38240.112696179654</v>
      </c>
      <c r="X10" s="115">
        <f>ROUND(W10/1000,3)</f>
        <v>38.24</v>
      </c>
    </row>
    <row r="11" spans="1:25" ht="15.75" x14ac:dyDescent="0.25">
      <c r="B11" s="33" t="s">
        <v>59</v>
      </c>
      <c r="D11" s="37">
        <f>J10</f>
        <v>5900</v>
      </c>
      <c r="E11">
        <v>0.13</v>
      </c>
      <c r="F11" s="37">
        <f>J10</f>
        <v>5900</v>
      </c>
      <c r="G11" s="37"/>
      <c r="H11" s="37"/>
      <c r="I11">
        <v>0.15</v>
      </c>
      <c r="J11" s="43">
        <f>F11*I11+D11*E11</f>
        <v>1652</v>
      </c>
      <c r="K11" s="36"/>
      <c r="L11" s="152" t="s">
        <v>6</v>
      </c>
      <c r="M11" s="139">
        <v>0</v>
      </c>
      <c r="N11" s="39">
        <v>12</v>
      </c>
      <c r="O11" s="136">
        <v>6.56</v>
      </c>
      <c r="P11" s="39">
        <v>783310</v>
      </c>
      <c r="Q11" s="39">
        <f t="shared" ref="Q11:Q18" si="3">O11*P11</f>
        <v>5138513.5999999996</v>
      </c>
      <c r="R11" s="39"/>
      <c r="S11" s="39">
        <f t="shared" ref="S11:S19" si="4">O11*R11</f>
        <v>0</v>
      </c>
      <c r="T11" s="39">
        <f t="shared" si="1"/>
        <v>645067</v>
      </c>
      <c r="U11" s="39">
        <f t="shared" ref="U11:U18" si="5">M11+Q11+T11+S11</f>
        <v>5783580.5999999996</v>
      </c>
      <c r="V11" s="81">
        <f>J32</f>
        <v>5695720.0952380951</v>
      </c>
      <c r="W11" s="80">
        <f t="shared" si="2"/>
        <v>87860.504761904478</v>
      </c>
      <c r="X11" s="115">
        <f t="shared" ref="X11:X13" si="6">ROUND(W11/1000,3)</f>
        <v>87.861000000000004</v>
      </c>
    </row>
    <row r="12" spans="1:25" ht="15.75" x14ac:dyDescent="0.25">
      <c r="B12" s="33" t="s">
        <v>128</v>
      </c>
      <c r="D12" s="37"/>
      <c r="F12" s="37"/>
      <c r="G12" s="37"/>
      <c r="H12" s="37"/>
      <c r="J12" s="43">
        <f>T9</f>
        <v>54083</v>
      </c>
      <c r="K12" s="36"/>
      <c r="L12" s="31" t="s">
        <v>10</v>
      </c>
      <c r="M12" s="139">
        <f>$M$23/$O$25*O12</f>
        <v>77020.240285745196</v>
      </c>
      <c r="N12" s="39">
        <v>3</v>
      </c>
      <c r="O12" s="136">
        <v>1.1000000000000001</v>
      </c>
      <c r="P12" s="39">
        <v>783310</v>
      </c>
      <c r="Q12" s="39">
        <f t="shared" si="3"/>
        <v>861641.00000000012</v>
      </c>
      <c r="R12" s="39"/>
      <c r="S12" s="39">
        <f t="shared" si="4"/>
        <v>0</v>
      </c>
      <c r="T12" s="39">
        <f t="shared" si="1"/>
        <v>108167</v>
      </c>
      <c r="U12" s="39">
        <f t="shared" si="5"/>
        <v>1046828.2402857454</v>
      </c>
      <c r="V12" s="81">
        <f>J44</f>
        <v>1026669.7317759999</v>
      </c>
      <c r="W12" s="80">
        <f t="shared" si="2"/>
        <v>20158.508509745472</v>
      </c>
      <c r="X12" s="115">
        <f t="shared" si="6"/>
        <v>20.158999999999999</v>
      </c>
    </row>
    <row r="13" spans="1:25" ht="15.75" x14ac:dyDescent="0.25">
      <c r="B13" s="33" t="s">
        <v>55</v>
      </c>
      <c r="J13" s="36">
        <f>SUM(J6:J12)</f>
        <v>504281.1312</v>
      </c>
      <c r="K13" s="34"/>
      <c r="L13" s="31" t="s">
        <v>13</v>
      </c>
      <c r="M13" s="139">
        <f>$M$23/$O$25*O13</f>
        <v>38510.120142872598</v>
      </c>
      <c r="N13" s="39">
        <v>1</v>
      </c>
      <c r="O13" s="136">
        <v>0.55000000000000004</v>
      </c>
      <c r="P13" s="39">
        <v>783310</v>
      </c>
      <c r="Q13" s="39">
        <f>O13*P13</f>
        <v>430820.50000000006</v>
      </c>
      <c r="R13" s="39"/>
      <c r="S13" s="39">
        <f t="shared" si="4"/>
        <v>0</v>
      </c>
      <c r="T13" s="39">
        <f t="shared" si="1"/>
        <v>54083</v>
      </c>
      <c r="U13" s="39">
        <f t="shared" si="5"/>
        <v>523413.62014287268</v>
      </c>
      <c r="V13" s="81">
        <f>J54</f>
        <v>504281.1312</v>
      </c>
      <c r="W13" s="80">
        <f t="shared" si="2"/>
        <v>19132.488942872675</v>
      </c>
      <c r="X13" s="115">
        <f t="shared" si="6"/>
        <v>19.132000000000001</v>
      </c>
    </row>
    <row r="14" spans="1:25" ht="15.75" x14ac:dyDescent="0.25">
      <c r="B14" s="33"/>
      <c r="J14" s="36"/>
      <c r="K14" s="34"/>
      <c r="L14" s="152" t="s">
        <v>11</v>
      </c>
      <c r="M14" s="139">
        <v>0</v>
      </c>
      <c r="N14" s="39">
        <v>12</v>
      </c>
      <c r="O14" s="136">
        <v>7.07</v>
      </c>
      <c r="P14" s="39">
        <v>783310</v>
      </c>
      <c r="Q14" s="39">
        <f t="shared" si="3"/>
        <v>5538001.7000000002</v>
      </c>
      <c r="R14" s="39"/>
      <c r="S14" s="39">
        <f t="shared" si="4"/>
        <v>0</v>
      </c>
      <c r="T14" s="39">
        <f t="shared" si="1"/>
        <v>695217</v>
      </c>
      <c r="U14" s="39">
        <f t="shared" si="5"/>
        <v>6233218.7000000002</v>
      </c>
      <c r="V14" s="81">
        <f>J65</f>
        <v>6233334.6152380956</v>
      </c>
      <c r="W14" s="80">
        <f t="shared" si="2"/>
        <v>-115.91523809544742</v>
      </c>
      <c r="X14" s="115">
        <f t="shared" ref="X14:X17" si="7">ROUND(W14/1000,3)</f>
        <v>-0.11600000000000001</v>
      </c>
    </row>
    <row r="15" spans="1:25" ht="15.75" x14ac:dyDescent="0.25">
      <c r="A15" s="74" t="s">
        <v>48</v>
      </c>
      <c r="B15" s="33" t="s">
        <v>49</v>
      </c>
      <c r="L15" s="152" t="s">
        <v>15</v>
      </c>
      <c r="M15" s="139">
        <v>0</v>
      </c>
      <c r="N15" s="39">
        <v>16</v>
      </c>
      <c r="O15" s="136">
        <v>7.29</v>
      </c>
      <c r="P15" s="39">
        <v>783310</v>
      </c>
      <c r="Q15" s="39">
        <f t="shared" si="3"/>
        <v>5710329.9000000004</v>
      </c>
      <c r="R15" s="39"/>
      <c r="S15" s="39">
        <f t="shared" si="4"/>
        <v>0</v>
      </c>
      <c r="T15" s="39">
        <f t="shared" si="1"/>
        <v>716850</v>
      </c>
      <c r="U15" s="39">
        <f t="shared" si="5"/>
        <v>6427179.9000000004</v>
      </c>
      <c r="V15" s="81">
        <f>J75</f>
        <v>5951389.5200000005</v>
      </c>
      <c r="W15" s="80">
        <f t="shared" si="2"/>
        <v>475790.37999999989</v>
      </c>
      <c r="X15" s="115">
        <f t="shared" si="7"/>
        <v>475.79</v>
      </c>
    </row>
    <row r="16" spans="1:25" ht="15.75" x14ac:dyDescent="0.25">
      <c r="B16" s="33" t="s">
        <v>140</v>
      </c>
      <c r="D16">
        <v>1</v>
      </c>
      <c r="E16">
        <v>163000</v>
      </c>
      <c r="F16">
        <v>11</v>
      </c>
      <c r="I16">
        <v>163000</v>
      </c>
      <c r="J16" s="34">
        <f>D16*E16+F16*I16</f>
        <v>1956000</v>
      </c>
      <c r="K16" s="34"/>
      <c r="L16" s="31" t="s">
        <v>17</v>
      </c>
      <c r="M16" s="139">
        <f>$M$23/$O$25*O16</f>
        <v>90323.736335101188</v>
      </c>
      <c r="N16" s="39">
        <v>5</v>
      </c>
      <c r="O16" s="136">
        <v>1.29</v>
      </c>
      <c r="P16" s="39">
        <v>783310</v>
      </c>
      <c r="Q16" s="39">
        <f t="shared" si="3"/>
        <v>1010469.9</v>
      </c>
      <c r="R16" s="39"/>
      <c r="S16" s="39">
        <f t="shared" si="4"/>
        <v>0</v>
      </c>
      <c r="T16" s="39">
        <f t="shared" si="1"/>
        <v>126850</v>
      </c>
      <c r="U16" s="39">
        <f t="shared" si="5"/>
        <v>1227643.6363351012</v>
      </c>
      <c r="V16" s="81">
        <f>J84</f>
        <v>1141703.4144000001</v>
      </c>
      <c r="W16" s="80">
        <f t="shared" si="2"/>
        <v>85940.221935101086</v>
      </c>
      <c r="X16" s="115">
        <f t="shared" si="7"/>
        <v>85.94</v>
      </c>
    </row>
    <row r="17" spans="1:24" ht="15.75" x14ac:dyDescent="0.25">
      <c r="B17" s="33" t="s">
        <v>113</v>
      </c>
      <c r="F17" s="37">
        <f>J16</f>
        <v>1956000</v>
      </c>
      <c r="G17" s="37"/>
      <c r="H17" s="37"/>
      <c r="I17">
        <v>0.13</v>
      </c>
      <c r="J17" s="34">
        <f>F17*I17</f>
        <v>254280</v>
      </c>
      <c r="K17" s="34"/>
      <c r="L17" s="31" t="s">
        <v>22</v>
      </c>
      <c r="M17" s="139">
        <f>$M$23/$O$25*O17</f>
        <v>476125.1217664248</v>
      </c>
      <c r="N17" s="39">
        <v>12</v>
      </c>
      <c r="O17" s="136">
        <v>6.8</v>
      </c>
      <c r="P17" s="39">
        <v>783310</v>
      </c>
      <c r="Q17" s="39">
        <f t="shared" si="3"/>
        <v>5326508</v>
      </c>
      <c r="R17" s="39"/>
      <c r="S17" s="39">
        <f t="shared" si="4"/>
        <v>0</v>
      </c>
      <c r="T17" s="39">
        <f t="shared" si="1"/>
        <v>668667</v>
      </c>
      <c r="U17" s="39">
        <f t="shared" si="5"/>
        <v>6471300.1217664247</v>
      </c>
      <c r="V17" s="81">
        <f>J94</f>
        <v>6044360.4400000004</v>
      </c>
      <c r="W17" s="80">
        <f t="shared" si="2"/>
        <v>426939.68176642433</v>
      </c>
      <c r="X17" s="115">
        <f t="shared" si="7"/>
        <v>426.94</v>
      </c>
    </row>
    <row r="18" spans="1:24" ht="15.75" x14ac:dyDescent="0.25">
      <c r="B18" s="33" t="s">
        <v>80</v>
      </c>
      <c r="F18">
        <v>12</v>
      </c>
      <c r="I18">
        <v>2500</v>
      </c>
      <c r="J18" s="34">
        <f>F18*I18</f>
        <v>30000</v>
      </c>
      <c r="K18" s="34"/>
      <c r="L18" s="152" t="s">
        <v>25</v>
      </c>
      <c r="M18" s="139">
        <v>0</v>
      </c>
      <c r="N18" s="39">
        <v>10</v>
      </c>
      <c r="O18" s="136">
        <v>6.69</v>
      </c>
      <c r="P18" s="39">
        <v>783310</v>
      </c>
      <c r="Q18" s="39">
        <f t="shared" si="3"/>
        <v>5240343.9000000004</v>
      </c>
      <c r="R18" s="39"/>
      <c r="S18" s="39">
        <f t="shared" si="4"/>
        <v>0</v>
      </c>
      <c r="T18" s="39">
        <f t="shared" si="1"/>
        <v>657850</v>
      </c>
      <c r="U18" s="39">
        <f t="shared" si="5"/>
        <v>5898193.9000000004</v>
      </c>
      <c r="V18" s="81">
        <f>J104</f>
        <v>5893588.2400000002</v>
      </c>
      <c r="W18" s="80">
        <f t="shared" si="2"/>
        <v>4605.660000000149</v>
      </c>
      <c r="X18" s="115">
        <f>ROUND(W18/1000,3)</f>
        <v>4.6059999999999999</v>
      </c>
    </row>
    <row r="19" spans="1:24" ht="15.75" x14ac:dyDescent="0.25">
      <c r="B19" s="33" t="s">
        <v>54</v>
      </c>
      <c r="D19" s="37">
        <f>J18</f>
        <v>30000</v>
      </c>
      <c r="E19">
        <v>0.13</v>
      </c>
      <c r="F19" s="37">
        <f>J18</f>
        <v>30000</v>
      </c>
      <c r="G19" s="37"/>
      <c r="H19" s="37"/>
      <c r="I19">
        <v>0.15</v>
      </c>
      <c r="J19" s="34">
        <f>F19*I19+D19*E19</f>
        <v>8400</v>
      </c>
      <c r="K19" s="34"/>
      <c r="L19" s="31" t="s">
        <v>3</v>
      </c>
      <c r="M19" s="139">
        <f>$M$23/$O$25*O19</f>
        <v>5560861.3486308036</v>
      </c>
      <c r="N19" s="39">
        <v>88</v>
      </c>
      <c r="O19" s="136">
        <f>N23-SUM(O9:O18)</f>
        <v>79.420000000000016</v>
      </c>
      <c r="P19" s="39">
        <v>783310</v>
      </c>
      <c r="Q19" s="39">
        <f>O19*P19</f>
        <v>62210480.20000001</v>
      </c>
      <c r="R19" s="39"/>
      <c r="S19" s="39">
        <f t="shared" si="4"/>
        <v>0</v>
      </c>
      <c r="T19" s="39">
        <f t="shared" si="1"/>
        <v>7809633</v>
      </c>
      <c r="U19" s="39">
        <f>M19+Q19+T19+S19</f>
        <v>75580974.548630819</v>
      </c>
      <c r="V19" s="81">
        <f>V23-V10-V11-V12-V13-V14-V15-V16-V17-V18-V9</f>
        <v>65018458.680947818</v>
      </c>
      <c r="W19" s="80">
        <f t="shared" si="2"/>
        <v>10562515.867683001</v>
      </c>
      <c r="X19" s="115">
        <f t="shared" ref="X19" si="8">ROUND(W19/1000,3)</f>
        <v>10562.516</v>
      </c>
    </row>
    <row r="20" spans="1:24" ht="15.75" x14ac:dyDescent="0.25">
      <c r="B20" s="33" t="s">
        <v>99</v>
      </c>
      <c r="D20" s="37"/>
      <c r="F20" s="37"/>
      <c r="G20" s="37"/>
      <c r="H20" s="37"/>
      <c r="J20" s="34">
        <f>M104</f>
        <v>0</v>
      </c>
      <c r="K20" s="34"/>
      <c r="L20" s="31" t="s">
        <v>57</v>
      </c>
      <c r="M20" s="139">
        <f>SUM(M9:M19)</f>
        <v>6468999.9999999991</v>
      </c>
      <c r="N20" s="39">
        <f>SUM(N9:N19)</f>
        <v>164</v>
      </c>
      <c r="O20" s="136">
        <f>SUM(O9:O19)</f>
        <v>120</v>
      </c>
      <c r="P20" s="39">
        <v>783310</v>
      </c>
      <c r="Q20" s="39">
        <f>SUM(Q9:Q19)</f>
        <v>93997200</v>
      </c>
      <c r="R20" s="39"/>
      <c r="S20" s="39">
        <f t="shared" ref="S20" si="9">SUM(S10:S19)</f>
        <v>0</v>
      </c>
      <c r="T20" s="39">
        <f>SUM(T9:T19)</f>
        <v>11800000</v>
      </c>
      <c r="U20" s="39">
        <f>SUM(U9:U19)</f>
        <v>112266200.00000003</v>
      </c>
      <c r="V20" s="82">
        <f>SUM(V9:V19)</f>
        <v>100526000</v>
      </c>
      <c r="W20" s="80">
        <f>SUM(W9:W19)</f>
        <v>11740200.000000006</v>
      </c>
      <c r="X20" s="116">
        <f>SUM(X9:X19)</f>
        <v>11740.199999999999</v>
      </c>
    </row>
    <row r="21" spans="1:24" x14ac:dyDescent="0.25">
      <c r="B21" s="33" t="s">
        <v>128</v>
      </c>
      <c r="D21" s="37"/>
      <c r="F21" s="37"/>
      <c r="G21" s="37"/>
      <c r="H21" s="37"/>
      <c r="J21" s="34">
        <f>T10</f>
        <v>263533</v>
      </c>
      <c r="K21" s="34"/>
      <c r="Q21" s="37"/>
      <c r="R21" s="37"/>
      <c r="S21" s="37"/>
      <c r="T21" s="37"/>
      <c r="W21" s="37"/>
    </row>
    <row r="22" spans="1:24" x14ac:dyDescent="0.25">
      <c r="B22" s="33" t="s">
        <v>55</v>
      </c>
      <c r="J22" s="36">
        <f>SUM(J16:J21)</f>
        <v>2512213</v>
      </c>
      <c r="K22" s="34"/>
      <c r="Q22" s="37"/>
      <c r="R22" s="37"/>
      <c r="S22" s="37"/>
      <c r="T22" s="37"/>
      <c r="U22" s="37">
        <f>M20+Q20+S20+T20</f>
        <v>112266200</v>
      </c>
      <c r="W22" s="37"/>
    </row>
    <row r="23" spans="1:24" x14ac:dyDescent="0.25">
      <c r="B23" s="33"/>
      <c r="J23" s="36"/>
      <c r="K23" s="34"/>
      <c r="M23" s="37">
        <v>6469000</v>
      </c>
      <c r="N23" s="37">
        <v>120</v>
      </c>
      <c r="O23" s="37">
        <v>164</v>
      </c>
      <c r="P23" s="45">
        <f>N23/O23</f>
        <v>0.73170731707317072</v>
      </c>
      <c r="Q23" s="37">
        <v>93997200</v>
      </c>
      <c r="R23" s="37"/>
      <c r="S23" s="37"/>
      <c r="T23" s="37">
        <v>11800000</v>
      </c>
      <c r="U23" s="37">
        <v>76576400</v>
      </c>
      <c r="V23" s="37">
        <v>100526000</v>
      </c>
      <c r="W23" s="37">
        <f>U20-V20</f>
        <v>11740200.00000003</v>
      </c>
    </row>
    <row r="24" spans="1:24" x14ac:dyDescent="0.25">
      <c r="A24" s="75" t="s">
        <v>6</v>
      </c>
      <c r="B24" s="33" t="s">
        <v>75</v>
      </c>
      <c r="K24" s="34"/>
      <c r="M24" s="37"/>
      <c r="N24" s="37"/>
      <c r="O24" s="45"/>
      <c r="P24" s="44"/>
      <c r="Q24" s="37"/>
      <c r="R24" s="37"/>
      <c r="S24" s="37"/>
      <c r="T24" s="37"/>
      <c r="U24" s="37"/>
      <c r="V24" s="37"/>
    </row>
    <row r="25" spans="1:24" x14ac:dyDescent="0.25">
      <c r="B25" s="33" t="s">
        <v>141</v>
      </c>
      <c r="D25">
        <v>1</v>
      </c>
      <c r="E25">
        <v>326000</v>
      </c>
      <c r="F25">
        <v>11</v>
      </c>
      <c r="I25">
        <v>326000</v>
      </c>
      <c r="J25" s="34">
        <f>D25*E25+F25*I25</f>
        <v>3912000</v>
      </c>
      <c r="K25" s="34"/>
      <c r="M25" s="37"/>
      <c r="N25" s="37"/>
      <c r="O25" s="45">
        <f>O10+O12+O13+O16+O17+O19+O9</f>
        <v>92.390000000000015</v>
      </c>
      <c r="P25" s="44"/>
      <c r="Q25" s="37">
        <f>Q23-Q20</f>
        <v>0</v>
      </c>
      <c r="R25" s="37"/>
      <c r="S25" s="37"/>
      <c r="T25" s="37">
        <f>T23-T20</f>
        <v>0</v>
      </c>
      <c r="U25" s="37">
        <f>U20-U23</f>
        <v>35689800.00000003</v>
      </c>
      <c r="V25" s="37"/>
      <c r="W25" s="37"/>
    </row>
    <row r="26" spans="1:24" x14ac:dyDescent="0.25">
      <c r="B26" s="33" t="s">
        <v>113</v>
      </c>
      <c r="F26" s="37">
        <f>J25</f>
        <v>3912000</v>
      </c>
      <c r="G26" s="37"/>
      <c r="H26" s="37"/>
      <c r="I26">
        <v>0.13</v>
      </c>
      <c r="J26" s="34">
        <f>F26*I26</f>
        <v>508560</v>
      </c>
      <c r="K26" s="34"/>
      <c r="M26" s="37"/>
      <c r="N26" s="37"/>
      <c r="O26" s="45"/>
      <c r="P26" s="44"/>
      <c r="Q26" s="37"/>
      <c r="R26" s="37"/>
      <c r="S26" s="37"/>
      <c r="T26" s="37"/>
      <c r="U26" s="37"/>
      <c r="V26" s="37"/>
    </row>
    <row r="27" spans="1:24" hidden="1" x14ac:dyDescent="0.25">
      <c r="B27" s="33" t="s">
        <v>80</v>
      </c>
      <c r="F27">
        <v>12</v>
      </c>
      <c r="I27">
        <v>5000</v>
      </c>
      <c r="J27" s="34">
        <f>F27*I27</f>
        <v>60000</v>
      </c>
      <c r="K27" s="34"/>
      <c r="M27" s="37"/>
      <c r="N27" s="37">
        <f>SUM(N10:N19)</f>
        <v>163</v>
      </c>
      <c r="O27" s="45">
        <f>SUM(O10:O19)</f>
        <v>119.45000000000002</v>
      </c>
      <c r="P27" s="44"/>
      <c r="Q27" s="37"/>
      <c r="R27" s="37"/>
      <c r="S27" s="37"/>
      <c r="T27" s="37"/>
      <c r="U27" s="37"/>
      <c r="V27" s="37"/>
    </row>
    <row r="28" spans="1:24" x14ac:dyDescent="0.25">
      <c r="B28" s="33" t="s">
        <v>54</v>
      </c>
      <c r="D28" s="37">
        <f>J27</f>
        <v>60000</v>
      </c>
      <c r="E28">
        <v>0.13</v>
      </c>
      <c r="F28" s="37">
        <f>J27</f>
        <v>60000</v>
      </c>
      <c r="G28" s="37"/>
      <c r="H28" s="37"/>
      <c r="I28">
        <v>0.15</v>
      </c>
      <c r="J28" s="34">
        <f>F28*I28+D28*E28</f>
        <v>16800</v>
      </c>
      <c r="K28" s="34"/>
      <c r="M28" s="37"/>
      <c r="N28" s="37"/>
      <c r="O28" s="45"/>
      <c r="P28" s="44"/>
      <c r="Q28" s="37"/>
      <c r="R28" s="37"/>
      <c r="S28" s="37"/>
      <c r="T28" s="37"/>
      <c r="U28" s="37"/>
      <c r="V28" s="37"/>
    </row>
    <row r="29" spans="1:24" x14ac:dyDescent="0.25">
      <c r="B29" s="33" t="s">
        <v>91</v>
      </c>
      <c r="D29" s="37"/>
      <c r="E29">
        <v>11</v>
      </c>
      <c r="F29" s="37">
        <v>18405</v>
      </c>
      <c r="G29" s="37"/>
      <c r="H29" s="37"/>
      <c r="J29" s="34">
        <f>E29*F29</f>
        <v>202455</v>
      </c>
      <c r="K29" s="34"/>
      <c r="M29" s="37"/>
      <c r="N29" s="37"/>
      <c r="O29" s="45"/>
      <c r="P29" s="44"/>
      <c r="Q29" s="37"/>
      <c r="R29" s="37"/>
      <c r="S29" s="37"/>
      <c r="T29" s="37"/>
      <c r="U29" s="37"/>
      <c r="V29" s="37"/>
    </row>
    <row r="30" spans="1:24" x14ac:dyDescent="0.25">
      <c r="B30" s="33" t="s">
        <v>99</v>
      </c>
      <c r="D30" s="37"/>
      <c r="F30" s="37"/>
      <c r="G30" s="37"/>
      <c r="H30" s="37"/>
      <c r="J30" s="77">
        <f>I111</f>
        <v>350838.09523809527</v>
      </c>
      <c r="K30" s="34"/>
      <c r="M30" s="37"/>
      <c r="N30" s="37"/>
      <c r="O30" s="45"/>
      <c r="P30" s="44"/>
      <c r="Q30" s="37"/>
      <c r="R30" s="37"/>
      <c r="S30" s="37"/>
      <c r="T30" s="37"/>
      <c r="U30" s="37"/>
      <c r="V30" s="37"/>
    </row>
    <row r="31" spans="1:24" x14ac:dyDescent="0.25">
      <c r="B31" s="33" t="s">
        <v>128</v>
      </c>
      <c r="D31" s="37"/>
      <c r="F31" s="37"/>
      <c r="G31" s="37"/>
      <c r="H31" s="37"/>
      <c r="J31" s="77">
        <f>T11</f>
        <v>645067</v>
      </c>
      <c r="K31" s="34"/>
      <c r="M31" s="37"/>
      <c r="N31" s="37"/>
      <c r="O31" s="45"/>
      <c r="P31" s="44"/>
      <c r="Q31" s="37"/>
      <c r="R31" s="37"/>
      <c r="S31" s="37"/>
      <c r="T31" s="37"/>
      <c r="U31" s="37"/>
      <c r="V31" s="37"/>
    </row>
    <row r="32" spans="1:24" x14ac:dyDescent="0.25">
      <c r="B32" s="33" t="s">
        <v>55</v>
      </c>
      <c r="J32" s="36">
        <f>SUM(J25:J31)</f>
        <v>5695720.0952380951</v>
      </c>
      <c r="K32" s="34"/>
      <c r="M32" s="37"/>
      <c r="N32" s="37"/>
      <c r="O32" s="45"/>
      <c r="P32" s="44"/>
      <c r="Q32" s="37"/>
      <c r="R32" s="37"/>
      <c r="S32" s="37"/>
      <c r="T32" s="37"/>
      <c r="U32" s="37"/>
      <c r="V32" s="37"/>
    </row>
    <row r="33" spans="1:23" x14ac:dyDescent="0.25">
      <c r="B33" s="33"/>
      <c r="J33" s="36"/>
      <c r="K33" s="34"/>
      <c r="M33" s="37"/>
      <c r="N33" s="37"/>
      <c r="O33" s="45"/>
      <c r="P33" s="44"/>
      <c r="Q33" s="37"/>
      <c r="R33" s="37"/>
      <c r="S33" s="37"/>
      <c r="T33" s="37"/>
      <c r="U33" s="37"/>
      <c r="V33" s="37"/>
    </row>
    <row r="34" spans="1:23" x14ac:dyDescent="0.25">
      <c r="B34" s="33"/>
      <c r="J34" s="36"/>
      <c r="K34" s="36"/>
      <c r="M34" s="37"/>
      <c r="N34" s="37"/>
      <c r="O34" s="45"/>
      <c r="P34" s="44"/>
      <c r="Q34" s="37"/>
      <c r="R34" s="37"/>
      <c r="S34" s="37"/>
      <c r="T34" s="37"/>
      <c r="U34" s="37"/>
      <c r="V34" s="37"/>
    </row>
    <row r="35" spans="1:23" x14ac:dyDescent="0.25">
      <c r="A35" s="75" t="s">
        <v>10</v>
      </c>
      <c r="B35" s="33" t="s">
        <v>117</v>
      </c>
      <c r="F35" s="76"/>
      <c r="G35" s="76"/>
      <c r="H35" s="76"/>
      <c r="J35" s="36"/>
      <c r="K35" s="36"/>
      <c r="M35" s="37"/>
      <c r="N35" s="37"/>
      <c r="O35" s="45"/>
      <c r="P35" s="44"/>
      <c r="Q35" s="37"/>
      <c r="R35" s="37"/>
      <c r="S35" s="37"/>
      <c r="T35" s="37"/>
      <c r="U35" s="37"/>
      <c r="V35" s="37"/>
    </row>
    <row r="36" spans="1:23" x14ac:dyDescent="0.25">
      <c r="B36" s="33" t="s">
        <v>150</v>
      </c>
      <c r="J36" s="41"/>
      <c r="K36" s="36"/>
      <c r="M36" s="140"/>
      <c r="N36" s="140"/>
      <c r="O36" s="26"/>
      <c r="W36" s="37"/>
    </row>
    <row r="37" spans="1:23" x14ac:dyDescent="0.25">
      <c r="B37" s="33"/>
      <c r="D37">
        <v>300</v>
      </c>
      <c r="E37">
        <v>9.3000000000000007</v>
      </c>
      <c r="F37">
        <v>4</v>
      </c>
      <c r="G37">
        <v>52</v>
      </c>
      <c r="J37" s="155">
        <f>D37*E37*F37*G37</f>
        <v>580320</v>
      </c>
      <c r="K37" s="36"/>
      <c r="L37" s="37"/>
      <c r="M37" s="140"/>
      <c r="N37" s="140"/>
      <c r="O37" s="26"/>
      <c r="T37" s="121"/>
      <c r="W37" s="37"/>
    </row>
    <row r="38" spans="1:23" x14ac:dyDescent="0.25">
      <c r="B38" s="33" t="s">
        <v>148</v>
      </c>
      <c r="J38" s="43"/>
      <c r="K38" s="36"/>
      <c r="M38" s="140"/>
      <c r="N38" s="140"/>
      <c r="O38" s="26"/>
      <c r="W38" s="37"/>
    </row>
    <row r="39" spans="1:23" x14ac:dyDescent="0.25">
      <c r="B39" s="33" t="s">
        <v>118</v>
      </c>
      <c r="F39">
        <v>0.88639999999999997</v>
      </c>
      <c r="I39">
        <v>331968</v>
      </c>
      <c r="J39" s="43">
        <f>F39*I39</f>
        <v>294256.43520000001</v>
      </c>
      <c r="K39" s="36"/>
      <c r="M39" s="140"/>
      <c r="N39" s="140"/>
      <c r="O39" s="26"/>
      <c r="W39" s="37"/>
    </row>
    <row r="40" spans="1:23" x14ac:dyDescent="0.25">
      <c r="B40" s="33" t="s">
        <v>94</v>
      </c>
      <c r="F40" s="37">
        <f>J39</f>
        <v>294256.43520000001</v>
      </c>
      <c r="G40" s="37"/>
      <c r="H40" s="37"/>
      <c r="I40">
        <v>0.13</v>
      </c>
      <c r="J40" s="43">
        <f>D40*E40+F40*I40</f>
        <v>38253.336576000002</v>
      </c>
      <c r="K40" s="36"/>
      <c r="M40" s="140"/>
      <c r="N40" s="140"/>
      <c r="O40" s="26"/>
      <c r="W40" s="37"/>
    </row>
    <row r="41" spans="1:23" x14ac:dyDescent="0.25">
      <c r="B41" s="33" t="s">
        <v>53</v>
      </c>
      <c r="F41">
        <v>0.88639999999999997</v>
      </c>
      <c r="I41">
        <v>5000</v>
      </c>
      <c r="J41" s="43">
        <f>D41*E41+F41*I41</f>
        <v>4432</v>
      </c>
      <c r="K41" s="36"/>
      <c r="M41" s="140"/>
      <c r="N41" s="140"/>
      <c r="O41" s="26"/>
      <c r="P41" s="37"/>
      <c r="W41" s="37"/>
    </row>
    <row r="42" spans="1:23" x14ac:dyDescent="0.25">
      <c r="B42" s="33" t="s">
        <v>59</v>
      </c>
      <c r="D42" s="37">
        <v>4432</v>
      </c>
      <c r="E42">
        <v>0.13</v>
      </c>
      <c r="F42" s="37">
        <f>J41</f>
        <v>4432</v>
      </c>
      <c r="G42" s="37"/>
      <c r="H42" s="37"/>
      <c r="I42">
        <v>0.15</v>
      </c>
      <c r="J42" s="43">
        <f>F42*I42+D42*E42</f>
        <v>1240.96</v>
      </c>
      <c r="K42" s="36"/>
      <c r="M42" s="140"/>
      <c r="N42" s="140"/>
      <c r="O42" s="26"/>
      <c r="W42" s="37"/>
    </row>
    <row r="43" spans="1:23" x14ac:dyDescent="0.25">
      <c r="B43" s="33" t="s">
        <v>128</v>
      </c>
      <c r="D43" s="37"/>
      <c r="F43" s="37"/>
      <c r="G43" s="37"/>
      <c r="H43" s="37"/>
      <c r="J43" s="43">
        <f>T12</f>
        <v>108167</v>
      </c>
      <c r="K43" s="36"/>
      <c r="P43" s="26"/>
      <c r="W43" s="37"/>
    </row>
    <row r="44" spans="1:23" x14ac:dyDescent="0.25">
      <c r="B44" s="33" t="s">
        <v>55</v>
      </c>
      <c r="J44" s="36">
        <f>SUM(J36:J43)</f>
        <v>1026669.7317759999</v>
      </c>
      <c r="K44" s="36"/>
      <c r="L44" t="s">
        <v>103</v>
      </c>
      <c r="M44" t="s">
        <v>106</v>
      </c>
      <c r="N44" t="s">
        <v>107</v>
      </c>
      <c r="O44" s="26"/>
      <c r="W44" s="37"/>
    </row>
    <row r="45" spans="1:23" x14ac:dyDescent="0.25">
      <c r="B45" s="33"/>
      <c r="J45" s="36"/>
      <c r="K45" s="36"/>
      <c r="O45" s="26"/>
      <c r="W45" s="37"/>
    </row>
    <row r="46" spans="1:23" x14ac:dyDescent="0.25">
      <c r="B46" s="33"/>
      <c r="J46" s="36"/>
      <c r="M46" t="s">
        <v>108</v>
      </c>
      <c r="N46" t="s">
        <v>109</v>
      </c>
      <c r="W46" s="37"/>
    </row>
    <row r="47" spans="1:23" x14ac:dyDescent="0.25">
      <c r="A47" s="75" t="s">
        <v>13</v>
      </c>
      <c r="B47" s="33" t="s">
        <v>95</v>
      </c>
      <c r="J47" s="36"/>
      <c r="W47" s="37"/>
    </row>
    <row r="48" spans="1:23" x14ac:dyDescent="0.25">
      <c r="B48" s="33" t="s">
        <v>92</v>
      </c>
      <c r="J48" s="43"/>
      <c r="K48" s="40"/>
      <c r="W48" s="37"/>
    </row>
    <row r="49" spans="1:11" x14ac:dyDescent="0.25">
      <c r="B49" s="33" t="s">
        <v>93</v>
      </c>
      <c r="F49">
        <v>1.18</v>
      </c>
      <c r="I49">
        <v>331968</v>
      </c>
      <c r="J49" s="43">
        <f>F49*I49</f>
        <v>391722.23999999999</v>
      </c>
      <c r="K49" s="40"/>
    </row>
    <row r="50" spans="1:11" x14ac:dyDescent="0.25">
      <c r="B50" s="33" t="s">
        <v>94</v>
      </c>
      <c r="F50" s="37">
        <f>J49</f>
        <v>391722.23999999999</v>
      </c>
      <c r="G50" s="37"/>
      <c r="H50" s="37"/>
      <c r="I50">
        <v>0.13</v>
      </c>
      <c r="J50" s="43">
        <f>D50*E50+F50*I50</f>
        <v>50923.891199999998</v>
      </c>
      <c r="K50" s="40"/>
    </row>
    <row r="51" spans="1:11" x14ac:dyDescent="0.25">
      <c r="B51" s="33" t="s">
        <v>53</v>
      </c>
      <c r="F51">
        <v>1.18</v>
      </c>
      <c r="I51">
        <v>5000</v>
      </c>
      <c r="J51" s="43">
        <f>D51*E51+F51*I51</f>
        <v>5900</v>
      </c>
      <c r="K51" s="40"/>
    </row>
    <row r="52" spans="1:11" x14ac:dyDescent="0.25">
      <c r="B52" s="33" t="s">
        <v>59</v>
      </c>
      <c r="D52" s="37">
        <f>J51</f>
        <v>5900</v>
      </c>
      <c r="E52">
        <v>0.13</v>
      </c>
      <c r="F52" s="37">
        <f>J51</f>
        <v>5900</v>
      </c>
      <c r="G52" s="37"/>
      <c r="H52" s="37"/>
      <c r="I52">
        <v>0.15</v>
      </c>
      <c r="J52" s="43">
        <f>F52*I52+D52*E52</f>
        <v>1652</v>
      </c>
      <c r="K52" s="41"/>
    </row>
    <row r="53" spans="1:11" x14ac:dyDescent="0.25">
      <c r="B53" s="33" t="s">
        <v>128</v>
      </c>
      <c r="D53" s="37"/>
      <c r="F53" s="37"/>
      <c r="G53" s="37"/>
      <c r="H53" s="37"/>
      <c r="J53" s="43">
        <f>T13</f>
        <v>54083</v>
      </c>
    </row>
    <row r="54" spans="1:11" x14ac:dyDescent="0.25">
      <c r="B54" s="33" t="s">
        <v>55</v>
      </c>
      <c r="J54" s="36">
        <f>SUM(J47:J53)</f>
        <v>504281.1312</v>
      </c>
    </row>
    <row r="55" spans="1:11" x14ac:dyDescent="0.25">
      <c r="B55" s="33"/>
      <c r="J55" s="36"/>
      <c r="K55" s="34"/>
    </row>
    <row r="56" spans="1:11" x14ac:dyDescent="0.25">
      <c r="B56" s="33"/>
      <c r="J56" s="36"/>
      <c r="K56" s="34"/>
    </row>
    <row r="57" spans="1:11" x14ac:dyDescent="0.25">
      <c r="A57" s="75" t="s">
        <v>11</v>
      </c>
      <c r="B57" s="33" t="s">
        <v>75</v>
      </c>
      <c r="K57" s="34"/>
    </row>
    <row r="58" spans="1:11" x14ac:dyDescent="0.25">
      <c r="B58" s="33" t="s">
        <v>142</v>
      </c>
      <c r="D58">
        <v>1</v>
      </c>
      <c r="E58">
        <v>348000</v>
      </c>
      <c r="F58">
        <v>11</v>
      </c>
      <c r="I58">
        <v>351968</v>
      </c>
      <c r="J58" s="34">
        <f>D58*E58+F58*I58</f>
        <v>4219648</v>
      </c>
      <c r="K58" s="34"/>
    </row>
    <row r="59" spans="1:11" x14ac:dyDescent="0.25">
      <c r="B59" s="33" t="s">
        <v>113</v>
      </c>
      <c r="F59" s="37">
        <f>J58</f>
        <v>4219648</v>
      </c>
      <c r="I59">
        <v>0.13</v>
      </c>
      <c r="J59" s="34">
        <f>F59*I59</f>
        <v>548554.23999999999</v>
      </c>
      <c r="K59" s="34"/>
    </row>
    <row r="60" spans="1:11" x14ac:dyDescent="0.25">
      <c r="B60" s="33" t="s">
        <v>53</v>
      </c>
      <c r="F60">
        <v>12</v>
      </c>
      <c r="I60">
        <v>5000</v>
      </c>
      <c r="J60" s="34">
        <f>F60*I60</f>
        <v>60000</v>
      </c>
      <c r="K60" s="34"/>
    </row>
    <row r="61" spans="1:11" x14ac:dyDescent="0.25">
      <c r="B61" s="33" t="s">
        <v>54</v>
      </c>
      <c r="D61" s="37">
        <f>J60</f>
        <v>60000</v>
      </c>
      <c r="E61">
        <v>0.13</v>
      </c>
      <c r="F61" s="37">
        <f>J60</f>
        <v>60000</v>
      </c>
      <c r="G61" s="37"/>
      <c r="H61" s="37"/>
      <c r="I61">
        <v>0.15</v>
      </c>
      <c r="J61" s="34">
        <f>F61*I61+D61*E61</f>
        <v>16800</v>
      </c>
      <c r="K61" s="36"/>
    </row>
    <row r="62" spans="1:11" x14ac:dyDescent="0.25">
      <c r="B62" s="33" t="s">
        <v>91</v>
      </c>
      <c r="D62" s="37"/>
      <c r="E62">
        <v>12</v>
      </c>
      <c r="F62" s="37">
        <v>7255</v>
      </c>
      <c r="G62" s="37"/>
      <c r="H62" s="37"/>
      <c r="J62" s="34">
        <f>E62*F62</f>
        <v>87060</v>
      </c>
      <c r="K62" s="36"/>
    </row>
    <row r="63" spans="1:11" x14ac:dyDescent="0.25">
      <c r="B63" s="33" t="s">
        <v>99</v>
      </c>
      <c r="D63" s="37"/>
      <c r="F63" s="37"/>
      <c r="G63" s="37"/>
      <c r="H63" s="37"/>
      <c r="J63" s="40">
        <f>I113</f>
        <v>606055.37523809518</v>
      </c>
      <c r="K63" s="36"/>
    </row>
    <row r="64" spans="1:11" x14ac:dyDescent="0.25">
      <c r="B64" s="33" t="s">
        <v>128</v>
      </c>
      <c r="D64" s="37"/>
      <c r="F64" s="37"/>
      <c r="G64" s="37"/>
      <c r="H64" s="37"/>
      <c r="J64" s="40">
        <f>T14</f>
        <v>695217</v>
      </c>
      <c r="K64" s="36"/>
    </row>
    <row r="65" spans="1:23" x14ac:dyDescent="0.25">
      <c r="B65" s="33" t="s">
        <v>55</v>
      </c>
      <c r="J65" s="36">
        <f>SUM(J58:J64)</f>
        <v>6233334.6152380956</v>
      </c>
      <c r="K65" s="36"/>
    </row>
    <row r="66" spans="1:23" x14ac:dyDescent="0.25">
      <c r="B66" s="33"/>
      <c r="J66" s="36"/>
      <c r="K66" s="36"/>
      <c r="O66" s="42"/>
    </row>
    <row r="67" spans="1:23" x14ac:dyDescent="0.25">
      <c r="A67" s="74" t="s">
        <v>56</v>
      </c>
      <c r="B67" s="33" t="s">
        <v>75</v>
      </c>
      <c r="M67" s="42"/>
      <c r="N67" s="42"/>
      <c r="P67" s="42"/>
      <c r="Q67" s="42"/>
      <c r="R67" s="42"/>
      <c r="S67" s="42"/>
      <c r="T67" s="42"/>
      <c r="U67" s="42"/>
      <c r="V67" s="42"/>
    </row>
    <row r="68" spans="1:23" x14ac:dyDescent="0.25">
      <c r="B68" s="33" t="s">
        <v>143</v>
      </c>
      <c r="D68">
        <v>1</v>
      </c>
      <c r="E68">
        <v>326000</v>
      </c>
      <c r="F68">
        <v>11</v>
      </c>
      <c r="I68">
        <v>331968</v>
      </c>
      <c r="J68" s="34">
        <f>D68*E68+F68*I68</f>
        <v>3977648</v>
      </c>
    </row>
    <row r="69" spans="1:23" x14ac:dyDescent="0.25">
      <c r="B69" s="33" t="s">
        <v>114</v>
      </c>
      <c r="F69" s="37">
        <f>J68</f>
        <v>3977648</v>
      </c>
      <c r="I69">
        <v>0.13</v>
      </c>
      <c r="J69" s="34">
        <f>F69*I69</f>
        <v>517094.24</v>
      </c>
    </row>
    <row r="70" spans="1:23" x14ac:dyDescent="0.25">
      <c r="B70" s="33" t="s">
        <v>80</v>
      </c>
      <c r="F70">
        <v>12</v>
      </c>
      <c r="I70">
        <v>5000</v>
      </c>
      <c r="J70" s="34">
        <f>F70*I70</f>
        <v>60000</v>
      </c>
      <c r="L70" s="42"/>
    </row>
    <row r="71" spans="1:23" x14ac:dyDescent="0.25">
      <c r="B71" s="33" t="s">
        <v>54</v>
      </c>
      <c r="D71" s="37">
        <f>J70</f>
        <v>60000</v>
      </c>
      <c r="E71">
        <v>0.13</v>
      </c>
      <c r="F71" s="37">
        <f>J70</f>
        <v>60000</v>
      </c>
      <c r="G71" s="37"/>
      <c r="H71" s="37"/>
      <c r="I71">
        <v>0.15</v>
      </c>
      <c r="J71" s="34">
        <f>F71*I71+D71*E71</f>
        <v>16800</v>
      </c>
    </row>
    <row r="72" spans="1:23" x14ac:dyDescent="0.25">
      <c r="B72" s="33" t="s">
        <v>116</v>
      </c>
      <c r="D72" s="37"/>
      <c r="E72">
        <v>12</v>
      </c>
      <c r="F72" s="37">
        <v>7615</v>
      </c>
      <c r="G72" s="37"/>
      <c r="H72" s="37"/>
      <c r="I72">
        <v>1</v>
      </c>
      <c r="J72" s="34">
        <f>E72*F72/I72</f>
        <v>91380</v>
      </c>
    </row>
    <row r="73" spans="1:23" x14ac:dyDescent="0.25">
      <c r="B73" s="33" t="s">
        <v>99</v>
      </c>
      <c r="D73" s="37"/>
      <c r="F73" s="37"/>
      <c r="G73" s="37"/>
      <c r="H73" s="37"/>
      <c r="J73" s="40">
        <f>I114</f>
        <v>571617.28000000003</v>
      </c>
    </row>
    <row r="74" spans="1:23" x14ac:dyDescent="0.25">
      <c r="B74" s="33" t="s">
        <v>128</v>
      </c>
      <c r="D74" s="37"/>
      <c r="F74" s="37"/>
      <c r="G74" s="37"/>
      <c r="H74" s="37"/>
      <c r="J74" s="40">
        <f>T15</f>
        <v>716850</v>
      </c>
    </row>
    <row r="75" spans="1:23" x14ac:dyDescent="0.25">
      <c r="B75" s="33" t="s">
        <v>55</v>
      </c>
      <c r="J75" s="36">
        <f>SUM(J68:J74)</f>
        <v>5951389.5200000005</v>
      </c>
    </row>
    <row r="76" spans="1:23" x14ac:dyDescent="0.25">
      <c r="B76" s="33"/>
      <c r="J76" s="36"/>
    </row>
    <row r="77" spans="1:23" x14ac:dyDescent="0.25">
      <c r="A77" s="74" t="s">
        <v>58</v>
      </c>
      <c r="B77" s="33" t="s">
        <v>144</v>
      </c>
      <c r="J77" s="43"/>
    </row>
    <row r="78" spans="1:23" x14ac:dyDescent="0.25">
      <c r="A78" s="123"/>
      <c r="B78" s="123" t="s">
        <v>145</v>
      </c>
      <c r="J78" s="43"/>
      <c r="W78" s="42"/>
    </row>
    <row r="79" spans="1:23" x14ac:dyDescent="0.25">
      <c r="B79" s="33" t="s">
        <v>146</v>
      </c>
      <c r="F79">
        <v>2.66</v>
      </c>
      <c r="I79">
        <v>331968</v>
      </c>
      <c r="J79" s="34">
        <f>F79*I79</f>
        <v>883034.88</v>
      </c>
    </row>
    <row r="80" spans="1:23" x14ac:dyDescent="0.25">
      <c r="B80" s="33" t="s">
        <v>113</v>
      </c>
      <c r="F80" s="37">
        <f>J79</f>
        <v>883034.88</v>
      </c>
      <c r="I80">
        <v>0.13</v>
      </c>
      <c r="J80" s="34">
        <f>F80*0.13</f>
        <v>114794.5344</v>
      </c>
      <c r="K80" s="42"/>
    </row>
    <row r="81" spans="1:14" x14ac:dyDescent="0.25">
      <c r="B81" s="33" t="s">
        <v>80</v>
      </c>
      <c r="F81">
        <v>2.66</v>
      </c>
      <c r="I81">
        <v>5000</v>
      </c>
      <c r="J81" s="34">
        <f>F81*I81</f>
        <v>13300</v>
      </c>
    </row>
    <row r="82" spans="1:14" x14ac:dyDescent="0.25">
      <c r="B82" s="33" t="s">
        <v>54</v>
      </c>
      <c r="D82" s="37">
        <f>J81</f>
        <v>13300</v>
      </c>
      <c r="E82">
        <v>0.13</v>
      </c>
      <c r="F82" s="37">
        <f>J81</f>
        <v>13300</v>
      </c>
      <c r="G82" s="37"/>
      <c r="H82" s="37"/>
      <c r="I82">
        <v>0.15</v>
      </c>
      <c r="J82" s="34">
        <f>F82*I82+D82*E82</f>
        <v>3724</v>
      </c>
    </row>
    <row r="83" spans="1:14" x14ac:dyDescent="0.25">
      <c r="B83" s="33" t="s">
        <v>129</v>
      </c>
      <c r="D83" s="37"/>
      <c r="F83" s="37"/>
      <c r="G83" s="37"/>
      <c r="H83" s="37"/>
      <c r="J83" s="34">
        <f>T16</f>
        <v>126850</v>
      </c>
    </row>
    <row r="84" spans="1:14" x14ac:dyDescent="0.25">
      <c r="B84" s="33" t="s">
        <v>55</v>
      </c>
      <c r="J84" s="36">
        <f>SUM(J77:J83)</f>
        <v>1141703.4144000001</v>
      </c>
    </row>
    <row r="85" spans="1:14" x14ac:dyDescent="0.25">
      <c r="B85" s="33"/>
      <c r="J85" s="36"/>
    </row>
    <row r="86" spans="1:14" x14ac:dyDescent="0.25">
      <c r="A86" s="74" t="s">
        <v>60</v>
      </c>
      <c r="B86" t="s">
        <v>115</v>
      </c>
      <c r="M86" s="71"/>
    </row>
    <row r="87" spans="1:14" x14ac:dyDescent="0.25">
      <c r="B87" s="33" t="s">
        <v>147</v>
      </c>
      <c r="D87">
        <v>1</v>
      </c>
      <c r="E87">
        <v>356000</v>
      </c>
      <c r="F87">
        <v>11</v>
      </c>
      <c r="I87">
        <v>331968</v>
      </c>
      <c r="J87" s="34">
        <f>D87*E87+F87*I87</f>
        <v>4007648</v>
      </c>
      <c r="M87" s="71"/>
    </row>
    <row r="88" spans="1:14" x14ac:dyDescent="0.25">
      <c r="B88" s="33" t="s">
        <v>113</v>
      </c>
      <c r="F88" s="37">
        <f>J87</f>
        <v>4007648</v>
      </c>
      <c r="I88">
        <v>0.13</v>
      </c>
      <c r="J88" s="34">
        <f>F88*I88</f>
        <v>520994.24</v>
      </c>
      <c r="M88" s="71"/>
    </row>
    <row r="89" spans="1:14" x14ac:dyDescent="0.25">
      <c r="B89" s="33" t="s">
        <v>80</v>
      </c>
      <c r="F89">
        <v>12</v>
      </c>
      <c r="I89">
        <v>5000</v>
      </c>
      <c r="J89" s="34">
        <f>F89*I89</f>
        <v>60000</v>
      </c>
      <c r="L89" s="71"/>
      <c r="M89" s="71"/>
    </row>
    <row r="90" spans="1:14" x14ac:dyDescent="0.25">
      <c r="B90" s="33" t="s">
        <v>54</v>
      </c>
      <c r="D90" s="37">
        <f>J89</f>
        <v>60000</v>
      </c>
      <c r="E90">
        <v>0.13</v>
      </c>
      <c r="F90" s="37">
        <f>J89</f>
        <v>60000</v>
      </c>
      <c r="G90" s="37"/>
      <c r="H90" s="37"/>
      <c r="I90">
        <v>0.15</v>
      </c>
      <c r="J90" s="34">
        <f>F90*I90+D90*E90</f>
        <v>16800</v>
      </c>
      <c r="L90" s="71"/>
      <c r="M90" s="71"/>
    </row>
    <row r="91" spans="1:14" x14ac:dyDescent="0.25">
      <c r="B91" s="33" t="s">
        <v>91</v>
      </c>
      <c r="D91" s="37"/>
      <c r="E91">
        <v>12</v>
      </c>
      <c r="F91" s="37">
        <v>19530</v>
      </c>
      <c r="G91" s="37"/>
      <c r="H91" s="37"/>
      <c r="J91" s="34">
        <f>E91*F91</f>
        <v>234360</v>
      </c>
      <c r="L91" s="71"/>
      <c r="M91" s="71"/>
    </row>
    <row r="92" spans="1:14" x14ac:dyDescent="0.25">
      <c r="B92" s="33" t="s">
        <v>128</v>
      </c>
      <c r="D92" s="37"/>
      <c r="F92" s="37"/>
      <c r="G92" s="37"/>
      <c r="H92" s="37"/>
      <c r="J92" s="40">
        <f>T17</f>
        <v>668667</v>
      </c>
      <c r="L92" s="71"/>
      <c r="M92" s="71"/>
    </row>
    <row r="93" spans="1:14" x14ac:dyDescent="0.25">
      <c r="B93" s="33" t="s">
        <v>99</v>
      </c>
      <c r="D93" s="37"/>
      <c r="F93" s="37"/>
      <c r="G93" s="37"/>
      <c r="H93" s="37"/>
      <c r="J93" s="40">
        <f>I115</f>
        <v>535891.19999999995</v>
      </c>
      <c r="L93" s="73"/>
      <c r="M93" s="72"/>
      <c r="N93" s="71"/>
    </row>
    <row r="94" spans="1:14" x14ac:dyDescent="0.25">
      <c r="B94" s="33" t="s">
        <v>55</v>
      </c>
      <c r="J94" s="36">
        <f>SUM(J87:J93)</f>
        <v>6044360.4400000004</v>
      </c>
      <c r="L94" s="73"/>
      <c r="M94" s="72"/>
      <c r="N94" s="71"/>
    </row>
    <row r="95" spans="1:14" x14ac:dyDescent="0.25">
      <c r="B95" s="33"/>
      <c r="J95" s="36"/>
      <c r="L95" s="154">
        <f>SUM(J102,J92,J83,J74,J64,J53,J43,J31,J21)</f>
        <v>3936284</v>
      </c>
      <c r="M95" s="72"/>
      <c r="N95" s="71"/>
    </row>
    <row r="96" spans="1:14" x14ac:dyDescent="0.25">
      <c r="A96" s="75" t="s">
        <v>25</v>
      </c>
      <c r="B96" s="33" t="s">
        <v>75</v>
      </c>
      <c r="L96" s="73"/>
      <c r="M96" s="72"/>
      <c r="N96" s="71"/>
    </row>
    <row r="97" spans="1:14" x14ac:dyDescent="0.25">
      <c r="B97" s="33" t="s">
        <v>149</v>
      </c>
      <c r="D97">
        <v>1</v>
      </c>
      <c r="E97">
        <v>356000</v>
      </c>
      <c r="F97">
        <v>11</v>
      </c>
      <c r="I97">
        <v>331968</v>
      </c>
      <c r="J97" s="34">
        <f>D97*E97+F97*I97</f>
        <v>4007648</v>
      </c>
      <c r="L97" s="73"/>
      <c r="M97" s="72"/>
      <c r="N97" s="71"/>
    </row>
    <row r="98" spans="1:14" x14ac:dyDescent="0.25">
      <c r="B98" s="33" t="s">
        <v>113</v>
      </c>
      <c r="F98" s="37">
        <f>J97</f>
        <v>4007648</v>
      </c>
      <c r="I98">
        <v>0.13</v>
      </c>
      <c r="J98" s="34">
        <f>F98*I98</f>
        <v>520994.24</v>
      </c>
      <c r="L98" s="73"/>
      <c r="M98" s="72"/>
      <c r="N98" s="71"/>
    </row>
    <row r="99" spans="1:14" x14ac:dyDescent="0.25">
      <c r="B99" s="33" t="s">
        <v>53</v>
      </c>
      <c r="F99">
        <v>12</v>
      </c>
      <c r="I99">
        <v>5000</v>
      </c>
      <c r="J99" s="34">
        <f>F99*I99</f>
        <v>60000</v>
      </c>
      <c r="K99" s="71"/>
      <c r="L99" s="73"/>
      <c r="M99" s="72"/>
      <c r="N99" s="71"/>
    </row>
    <row r="100" spans="1:14" x14ac:dyDescent="0.25">
      <c r="B100" s="33" t="s">
        <v>54</v>
      </c>
      <c r="D100" s="37">
        <f>J99</f>
        <v>60000</v>
      </c>
      <c r="E100">
        <v>0.13</v>
      </c>
      <c r="F100" s="37">
        <f>J99</f>
        <v>60000</v>
      </c>
      <c r="G100" s="37"/>
      <c r="H100" s="37"/>
      <c r="I100">
        <v>0.15</v>
      </c>
      <c r="J100" s="34">
        <f>F100*I100+D100*E100</f>
        <v>16800</v>
      </c>
      <c r="K100" s="71"/>
      <c r="L100" s="73"/>
      <c r="M100" s="72"/>
      <c r="N100" s="71"/>
    </row>
    <row r="101" spans="1:14" x14ac:dyDescent="0.25">
      <c r="B101" s="33" t="s">
        <v>91</v>
      </c>
      <c r="D101" s="37"/>
      <c r="E101">
        <v>12</v>
      </c>
      <c r="F101" s="37">
        <v>15310</v>
      </c>
      <c r="G101" s="37"/>
      <c r="H101" s="37"/>
      <c r="J101" s="34">
        <f>E101*F101</f>
        <v>183720</v>
      </c>
      <c r="K101" s="71"/>
      <c r="L101" s="73"/>
      <c r="M101" s="72"/>
      <c r="N101" s="71"/>
    </row>
    <row r="102" spans="1:14" x14ac:dyDescent="0.25">
      <c r="B102" s="33" t="s">
        <v>130</v>
      </c>
      <c r="D102" s="37"/>
      <c r="F102" s="37"/>
      <c r="G102" s="37"/>
      <c r="H102" s="37"/>
      <c r="J102" s="40">
        <f>T18</f>
        <v>657850</v>
      </c>
      <c r="K102" s="73"/>
      <c r="L102" s="73"/>
      <c r="M102" s="72"/>
      <c r="N102" s="71"/>
    </row>
    <row r="103" spans="1:14" x14ac:dyDescent="0.25">
      <c r="B103" s="33" t="s">
        <v>99</v>
      </c>
      <c r="D103" s="37"/>
      <c r="F103" s="37"/>
      <c r="G103" s="37"/>
      <c r="H103" s="37"/>
      <c r="J103" s="40">
        <f>I116</f>
        <v>446576</v>
      </c>
      <c r="K103" s="73"/>
      <c r="L103" s="117"/>
      <c r="M103" s="117"/>
    </row>
    <row r="104" spans="1:14" x14ac:dyDescent="0.25">
      <c r="B104" s="33" t="s">
        <v>119</v>
      </c>
      <c r="J104" s="153">
        <f>SUM(J97:J103)</f>
        <v>5893588.2400000002</v>
      </c>
      <c r="K104" s="73"/>
      <c r="L104" s="53"/>
      <c r="M104" s="53"/>
    </row>
    <row r="105" spans="1:14" x14ac:dyDescent="0.25">
      <c r="A105" s="42" t="s">
        <v>61</v>
      </c>
      <c r="L105" s="53"/>
      <c r="M105" s="53"/>
    </row>
    <row r="106" spans="1:14" x14ac:dyDescent="0.25">
      <c r="A106" s="42" t="s">
        <v>3</v>
      </c>
      <c r="K106" s="53"/>
      <c r="L106" s="53"/>
      <c r="M106" s="53"/>
    </row>
    <row r="107" spans="1:14" x14ac:dyDescent="0.25">
      <c r="A107" s="119" t="s">
        <v>62</v>
      </c>
      <c r="K107" s="53"/>
      <c r="L107" s="53"/>
      <c r="M107" s="53"/>
    </row>
    <row r="108" spans="1:14" x14ac:dyDescent="0.25">
      <c r="A108" s="42"/>
      <c r="K108" s="53"/>
      <c r="L108" s="53"/>
      <c r="M108" s="53"/>
    </row>
    <row r="109" spans="1:14" ht="45" x14ac:dyDescent="0.25">
      <c r="B109" s="117" t="s">
        <v>151</v>
      </c>
      <c r="C109" t="s">
        <v>96</v>
      </c>
      <c r="D109" t="s">
        <v>121</v>
      </c>
      <c r="E109" s="117" t="s">
        <v>156</v>
      </c>
      <c r="F109" t="s">
        <v>122</v>
      </c>
      <c r="G109" s="30" t="s">
        <v>123</v>
      </c>
      <c r="H109" s="30" t="s">
        <v>124</v>
      </c>
      <c r="I109" s="122" t="s">
        <v>125</v>
      </c>
      <c r="K109" s="53"/>
      <c r="L109" s="53"/>
      <c r="M109" s="53"/>
    </row>
    <row r="110" spans="1:14" x14ac:dyDescent="0.25">
      <c r="G110" s="53"/>
      <c r="H110" s="53"/>
      <c r="I110" s="53"/>
      <c r="J110" s="53"/>
      <c r="K110" s="53"/>
      <c r="L110" s="53"/>
      <c r="M110" s="53"/>
    </row>
    <row r="111" spans="1:14" x14ac:dyDescent="0.25">
      <c r="A111" t="s">
        <v>6</v>
      </c>
      <c r="B111">
        <v>20</v>
      </c>
      <c r="C111" t="s">
        <v>98</v>
      </c>
      <c r="D111">
        <v>21</v>
      </c>
      <c r="E111" s="121">
        <f>B111/D111</f>
        <v>0.95238095238095233</v>
      </c>
      <c r="F111">
        <v>326000</v>
      </c>
      <c r="G111" s="53">
        <f>E111*F111</f>
        <v>310476.19047619047</v>
      </c>
      <c r="H111" s="53">
        <f>G111*0.13</f>
        <v>40361.904761904763</v>
      </c>
      <c r="I111" s="53">
        <f>SUM(G111:H111)</f>
        <v>350838.09523809527</v>
      </c>
      <c r="J111" s="53"/>
      <c r="K111" s="53"/>
      <c r="L111" s="53"/>
      <c r="M111" s="53"/>
    </row>
    <row r="112" spans="1:14" x14ac:dyDescent="0.25">
      <c r="A112" t="s">
        <v>5</v>
      </c>
      <c r="B112">
        <v>37</v>
      </c>
      <c r="C112" t="s">
        <v>97</v>
      </c>
      <c r="D112">
        <v>21</v>
      </c>
      <c r="E112" s="121">
        <f>B112/D112</f>
        <v>1.7619047619047619</v>
      </c>
      <c r="F112">
        <v>163000</v>
      </c>
      <c r="G112" s="53">
        <f>E112*F112</f>
        <v>287190.47619047621</v>
      </c>
      <c r="H112" s="53">
        <f>G112*0.13</f>
        <v>37334.761904761908</v>
      </c>
      <c r="I112" s="53">
        <f>SUM(G112:H112)</f>
        <v>324525.23809523811</v>
      </c>
      <c r="J112" s="53"/>
      <c r="K112" s="53"/>
      <c r="L112" s="53"/>
      <c r="M112" s="53"/>
    </row>
    <row r="113" spans="1:34" x14ac:dyDescent="0.25">
      <c r="A113" t="s">
        <v>11</v>
      </c>
      <c r="B113">
        <v>32</v>
      </c>
      <c r="C113" t="s">
        <v>98</v>
      </c>
      <c r="D113">
        <v>21</v>
      </c>
      <c r="E113" s="121">
        <f t="shared" ref="E113:E116" si="10">B113/D113</f>
        <v>1.5238095238095237</v>
      </c>
      <c r="F113">
        <v>351968</v>
      </c>
      <c r="G113" s="53">
        <f t="shared" ref="G113:G117" si="11">E113*F113</f>
        <v>536332.19047619042</v>
      </c>
      <c r="H113" s="53">
        <f t="shared" ref="H113:H117" si="12">G113*0.13</f>
        <v>69723.184761904762</v>
      </c>
      <c r="I113" s="53">
        <f t="shared" ref="I113:I117" si="13">SUM(G113:H113)</f>
        <v>606055.37523809518</v>
      </c>
      <c r="J113" s="53"/>
      <c r="K113" s="53"/>
      <c r="L113" s="53"/>
      <c r="M113" s="53"/>
    </row>
    <row r="114" spans="1:34" x14ac:dyDescent="0.25">
      <c r="A114" t="s">
        <v>15</v>
      </c>
      <c r="B114">
        <v>32</v>
      </c>
      <c r="C114" t="s">
        <v>98</v>
      </c>
      <c r="D114">
        <v>21</v>
      </c>
      <c r="E114" s="121">
        <f>B114/D114</f>
        <v>1.5238095238095237</v>
      </c>
      <c r="F114">
        <v>331968</v>
      </c>
      <c r="G114" s="53">
        <f t="shared" si="11"/>
        <v>505856</v>
      </c>
      <c r="H114" s="53">
        <f t="shared" si="12"/>
        <v>65761.279999999999</v>
      </c>
      <c r="I114" s="53">
        <f t="shared" si="13"/>
        <v>571617.28000000003</v>
      </c>
      <c r="J114" s="53"/>
      <c r="K114" s="53"/>
    </row>
    <row r="115" spans="1:34" x14ac:dyDescent="0.25">
      <c r="A115" t="s">
        <v>89</v>
      </c>
      <c r="B115">
        <v>30</v>
      </c>
      <c r="C115" t="s">
        <v>98</v>
      </c>
      <c r="D115">
        <v>21</v>
      </c>
      <c r="E115" s="121">
        <f t="shared" si="10"/>
        <v>1.4285714285714286</v>
      </c>
      <c r="F115">
        <v>331968</v>
      </c>
      <c r="G115" s="53">
        <f t="shared" si="11"/>
        <v>474240</v>
      </c>
      <c r="H115" s="53">
        <f t="shared" si="12"/>
        <v>61651.200000000004</v>
      </c>
      <c r="I115" s="53">
        <f t="shared" si="13"/>
        <v>535891.19999999995</v>
      </c>
      <c r="J115" s="53"/>
      <c r="K115" s="117"/>
    </row>
    <row r="116" spans="1:34" x14ac:dyDescent="0.25">
      <c r="A116" t="s">
        <v>25</v>
      </c>
      <c r="B116">
        <v>25</v>
      </c>
      <c r="C116" t="s">
        <v>98</v>
      </c>
      <c r="D116">
        <v>21</v>
      </c>
      <c r="E116" s="121">
        <f t="shared" si="10"/>
        <v>1.1904761904761905</v>
      </c>
      <c r="F116">
        <v>331968</v>
      </c>
      <c r="G116" s="53">
        <f t="shared" si="11"/>
        <v>395200</v>
      </c>
      <c r="H116" s="53">
        <f t="shared" si="12"/>
        <v>51376</v>
      </c>
      <c r="I116" s="53">
        <f t="shared" si="13"/>
        <v>446576</v>
      </c>
      <c r="J116" s="53"/>
      <c r="K116" s="53"/>
    </row>
    <row r="117" spans="1:34" x14ac:dyDescent="0.25">
      <c r="A117" t="s">
        <v>3</v>
      </c>
      <c r="B117">
        <v>82</v>
      </c>
      <c r="C117" t="s">
        <v>98</v>
      </c>
      <c r="D117">
        <v>21</v>
      </c>
      <c r="E117" s="121">
        <f>(B117/D117)+0.05</f>
        <v>3.9547619047619045</v>
      </c>
      <c r="F117">
        <v>331968</v>
      </c>
      <c r="G117" s="53">
        <f t="shared" si="11"/>
        <v>1312854.3999999999</v>
      </c>
      <c r="H117" s="53">
        <f t="shared" si="12"/>
        <v>170671.07199999999</v>
      </c>
      <c r="I117" s="53">
        <f t="shared" si="13"/>
        <v>1483525.4719999998</v>
      </c>
      <c r="J117" s="53"/>
      <c r="K117" s="53"/>
    </row>
    <row r="118" spans="1:34" x14ac:dyDescent="0.25">
      <c r="E118" s="121">
        <f>SUM(E111:E117)</f>
        <v>12.335714285714285</v>
      </c>
      <c r="G118" s="53"/>
      <c r="H118" s="53"/>
      <c r="I118" s="53"/>
      <c r="J118" s="53"/>
      <c r="K118" s="53"/>
    </row>
    <row r="119" spans="1:34" x14ac:dyDescent="0.25">
      <c r="A119" t="s">
        <v>152</v>
      </c>
      <c r="B119" s="71"/>
      <c r="C119">
        <v>251</v>
      </c>
      <c r="E119" s="71"/>
      <c r="F119" s="71"/>
      <c r="G119" s="53">
        <f>SUM(G111:G118)</f>
        <v>3822149.2571428572</v>
      </c>
      <c r="H119" s="53">
        <f>C119-E118</f>
        <v>238.66428571428571</v>
      </c>
      <c r="I119" s="53"/>
      <c r="J119" s="53"/>
      <c r="K119" s="53"/>
    </row>
    <row r="120" spans="1:34" x14ac:dyDescent="0.25">
      <c r="F120" s="71"/>
      <c r="G120" s="71"/>
      <c r="H120" s="71"/>
      <c r="I120" s="71"/>
      <c r="J120" s="71"/>
      <c r="K120" s="53"/>
    </row>
    <row r="121" spans="1:34" x14ac:dyDescent="0.25">
      <c r="K121" s="53"/>
    </row>
    <row r="122" spans="1:34" x14ac:dyDescent="0.25">
      <c r="K122" s="53"/>
    </row>
    <row r="123" spans="1:34" x14ac:dyDescent="0.25">
      <c r="K123" s="53"/>
    </row>
    <row r="124" spans="1:34" x14ac:dyDescent="0.25">
      <c r="K124" s="53"/>
      <c r="AH124" s="33" t="s">
        <v>75</v>
      </c>
    </row>
    <row r="125" spans="1:34" x14ac:dyDescent="0.25">
      <c r="K125" s="71"/>
    </row>
  </sheetData>
  <mergeCells count="15">
    <mergeCell ref="A1:Y1"/>
    <mergeCell ref="A4:C4"/>
    <mergeCell ref="L4:O4"/>
    <mergeCell ref="L7:L8"/>
    <mergeCell ref="U7:U8"/>
    <mergeCell ref="O7:O8"/>
    <mergeCell ref="V7:V8"/>
    <mergeCell ref="W7:W8"/>
    <mergeCell ref="P7:P8"/>
    <mergeCell ref="Q7:Q8"/>
    <mergeCell ref="M7:M8"/>
    <mergeCell ref="N7:N8"/>
    <mergeCell ref="T7:T8"/>
    <mergeCell ref="R7:R8"/>
    <mergeCell ref="S7:S8"/>
  </mergeCells>
  <pageMargins left="0.7" right="0.7" top="0.75" bottom="0.75" header="0.3" footer="0.3"/>
  <pageSetup paperSize="8" scale="45" orientation="landscape" r:id="rId1"/>
  <rowBreaks count="1" manualBreakCount="1">
    <brk id="90" max="2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8"/>
  <sheetViews>
    <sheetView tabSelected="1" zoomScaleNormal="100" zoomScaleSheetLayoutView="100" workbookViewId="0">
      <selection activeCell="H14" sqref="H14"/>
    </sheetView>
  </sheetViews>
  <sheetFormatPr defaultRowHeight="15" x14ac:dyDescent="0.25"/>
  <cols>
    <col min="1" max="1" width="17.42578125" customWidth="1"/>
    <col min="2" max="2" width="14.85546875" customWidth="1"/>
    <col min="3" max="3" width="21.5703125" customWidth="1"/>
    <col min="4" max="4" width="16.7109375" customWidth="1"/>
    <col min="5" max="6" width="8.85546875" bestFit="1" customWidth="1"/>
    <col min="7" max="7" width="13.140625" customWidth="1"/>
    <col min="9" max="10" width="13.5703125" customWidth="1"/>
    <col min="11" max="11" width="9.85546875" customWidth="1"/>
    <col min="12" max="12" width="11.85546875" customWidth="1"/>
    <col min="13" max="13" width="12.5703125" customWidth="1"/>
    <col min="14" max="14" width="13.5703125" customWidth="1"/>
    <col min="15" max="15" width="12.42578125" customWidth="1"/>
  </cols>
  <sheetData>
    <row r="1" spans="1:15" ht="19.5" thickBot="1" x14ac:dyDescent="0.35">
      <c r="A1" s="178" t="s">
        <v>137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18"/>
    </row>
    <row r="2" spans="1:15" x14ac:dyDescent="0.25">
      <c r="A2" t="s">
        <v>43</v>
      </c>
      <c r="I2" t="s">
        <v>68</v>
      </c>
    </row>
    <row r="3" spans="1:15" ht="44.45" customHeight="1" x14ac:dyDescent="0.25">
      <c r="A3" s="50" t="s">
        <v>43</v>
      </c>
      <c r="B3" s="62" t="s">
        <v>79</v>
      </c>
      <c r="C3" s="50"/>
      <c r="D3" s="51" t="s">
        <v>64</v>
      </c>
      <c r="E3" s="51" t="s">
        <v>65</v>
      </c>
      <c r="F3" s="51" t="s">
        <v>66</v>
      </c>
      <c r="G3" s="51" t="s">
        <v>67</v>
      </c>
      <c r="H3" s="51"/>
      <c r="I3" s="51" t="s">
        <v>68</v>
      </c>
      <c r="J3" s="51" t="s">
        <v>127</v>
      </c>
      <c r="K3" s="51" t="s">
        <v>74</v>
      </c>
      <c r="L3" s="51" t="s">
        <v>69</v>
      </c>
      <c r="M3" s="51" t="s">
        <v>70</v>
      </c>
      <c r="N3" s="51" t="s">
        <v>71</v>
      </c>
      <c r="O3" s="57" t="s">
        <v>76</v>
      </c>
    </row>
    <row r="4" spans="1:15" ht="15.75" x14ac:dyDescent="0.25">
      <c r="A4" s="50" t="s">
        <v>1</v>
      </c>
      <c r="B4" s="50">
        <v>0.75</v>
      </c>
      <c r="C4" s="50" t="s">
        <v>72</v>
      </c>
      <c r="D4" s="50">
        <v>2</v>
      </c>
      <c r="E4" s="69">
        <v>10000</v>
      </c>
      <c r="F4" s="69">
        <v>9</v>
      </c>
      <c r="G4" s="69">
        <f t="shared" ref="G4:G10" si="0">D4*E4*F4</f>
        <v>180000</v>
      </c>
      <c r="H4" s="69"/>
      <c r="I4" s="69">
        <f>$I$17/$K$15*K4</f>
        <v>24428.571428571428</v>
      </c>
      <c r="J4" s="69"/>
      <c r="K4" s="50">
        <f>B4</f>
        <v>0.75</v>
      </c>
      <c r="L4" s="69">
        <f>$N$25</f>
        <v>31743</v>
      </c>
      <c r="M4" s="69">
        <f>K4*L4</f>
        <v>23807.25</v>
      </c>
      <c r="N4" s="69">
        <f>I4+M4-G4</f>
        <v>-131764.17857142858</v>
      </c>
      <c r="O4" s="83">
        <f>ROUND(N4/1000,0)</f>
        <v>-132</v>
      </c>
    </row>
    <row r="5" spans="1:15" ht="15.75" x14ac:dyDescent="0.25">
      <c r="A5" s="50" t="s">
        <v>4</v>
      </c>
      <c r="B5" s="50">
        <v>6</v>
      </c>
      <c r="C5" s="50" t="s">
        <v>72</v>
      </c>
      <c r="D5" s="50">
        <v>2</v>
      </c>
      <c r="E5" s="69">
        <v>10000</v>
      </c>
      <c r="F5" s="69">
        <v>12</v>
      </c>
      <c r="G5" s="69">
        <f>D5*E5*F5</f>
        <v>240000</v>
      </c>
      <c r="H5" s="69"/>
      <c r="I5" s="69">
        <f>$I$17/$K$15*K5</f>
        <v>195428.57142857142</v>
      </c>
      <c r="J5" s="69"/>
      <c r="K5" s="50">
        <f t="shared" ref="K5:K14" si="1">B5</f>
        <v>6</v>
      </c>
      <c r="L5" s="69">
        <f t="shared" ref="L5:L14" si="2">$N$25</f>
        <v>31743</v>
      </c>
      <c r="M5" s="69">
        <f>K5*L5</f>
        <v>190458</v>
      </c>
      <c r="N5" s="69">
        <f>I5+M5-G5</f>
        <v>145886.57142857142</v>
      </c>
      <c r="O5" s="83">
        <f t="shared" ref="O5:O15" si="3">ROUND(N5/1000,0)</f>
        <v>146</v>
      </c>
    </row>
    <row r="6" spans="1:15" ht="15.75" x14ac:dyDescent="0.25">
      <c r="A6" s="50" t="s">
        <v>6</v>
      </c>
      <c r="B6" s="50">
        <v>6</v>
      </c>
      <c r="C6" s="50" t="s">
        <v>72</v>
      </c>
      <c r="D6" s="50">
        <v>2</v>
      </c>
      <c r="E6" s="69">
        <v>10000</v>
      </c>
      <c r="F6" s="69">
        <v>12</v>
      </c>
      <c r="G6" s="69">
        <f t="shared" si="0"/>
        <v>240000</v>
      </c>
      <c r="H6" s="69"/>
      <c r="I6" s="69">
        <f>I17/K15*K6</f>
        <v>195428.57142857142</v>
      </c>
      <c r="J6" s="69"/>
      <c r="K6" s="50">
        <f t="shared" si="1"/>
        <v>6</v>
      </c>
      <c r="L6" s="69">
        <f t="shared" si="2"/>
        <v>31743</v>
      </c>
      <c r="M6" s="69">
        <f t="shared" ref="M6:M11" si="4">K6*L6</f>
        <v>190458</v>
      </c>
      <c r="N6" s="69">
        <f>I6+M6-G6-G7</f>
        <v>74606.57142857142</v>
      </c>
      <c r="O6" s="83">
        <f t="shared" si="3"/>
        <v>75</v>
      </c>
    </row>
    <row r="7" spans="1:15" ht="15.75" x14ac:dyDescent="0.25">
      <c r="A7" s="50" t="s">
        <v>90</v>
      </c>
      <c r="B7" s="50"/>
      <c r="C7" s="50"/>
      <c r="D7" s="50">
        <v>6</v>
      </c>
      <c r="E7" s="69">
        <v>990</v>
      </c>
      <c r="F7" s="69">
        <v>12</v>
      </c>
      <c r="G7" s="69">
        <f>E7*F7*D7</f>
        <v>71280</v>
      </c>
      <c r="H7" s="69"/>
      <c r="I7" s="69"/>
      <c r="J7" s="69"/>
      <c r="K7" s="50"/>
      <c r="L7" s="69"/>
      <c r="M7" s="69"/>
      <c r="N7" s="69"/>
      <c r="O7" s="83"/>
    </row>
    <row r="8" spans="1:15" ht="15.75" x14ac:dyDescent="0.25">
      <c r="A8" s="69" t="s">
        <v>10</v>
      </c>
      <c r="B8" s="50">
        <v>1</v>
      </c>
      <c r="C8" s="50" t="s">
        <v>72</v>
      </c>
      <c r="D8" s="50">
        <v>2</v>
      </c>
      <c r="E8" s="69">
        <v>10000</v>
      </c>
      <c r="F8" s="69">
        <v>12</v>
      </c>
      <c r="G8" s="69">
        <f t="shared" si="0"/>
        <v>240000</v>
      </c>
      <c r="H8" s="69"/>
      <c r="I8" s="69">
        <f>I17/K15*K8</f>
        <v>32571.428571428572</v>
      </c>
      <c r="J8" s="69"/>
      <c r="K8" s="50">
        <f t="shared" si="1"/>
        <v>1</v>
      </c>
      <c r="L8" s="69">
        <f t="shared" si="2"/>
        <v>31743</v>
      </c>
      <c r="M8" s="69">
        <f t="shared" si="4"/>
        <v>31743</v>
      </c>
      <c r="N8" s="69">
        <f>I8+M8-G8</f>
        <v>-175685.57142857142</v>
      </c>
      <c r="O8" s="83">
        <f t="shared" si="3"/>
        <v>-176</v>
      </c>
    </row>
    <row r="9" spans="1:15" ht="15.75" x14ac:dyDescent="0.25">
      <c r="A9" s="50" t="s">
        <v>12</v>
      </c>
      <c r="B9" s="50">
        <v>1</v>
      </c>
      <c r="C9" s="50" t="s">
        <v>72</v>
      </c>
      <c r="D9" s="50">
        <v>2</v>
      </c>
      <c r="E9" s="69">
        <v>10000</v>
      </c>
      <c r="F9" s="69">
        <v>12</v>
      </c>
      <c r="G9" s="69">
        <f t="shared" si="0"/>
        <v>240000</v>
      </c>
      <c r="H9" s="69"/>
      <c r="I9" s="69">
        <f>I17/K15*K9</f>
        <v>32571.428571428572</v>
      </c>
      <c r="J9" s="69"/>
      <c r="K9" s="50">
        <f t="shared" si="1"/>
        <v>1</v>
      </c>
      <c r="L9" s="69">
        <f t="shared" si="2"/>
        <v>31743</v>
      </c>
      <c r="M9" s="69">
        <f t="shared" si="4"/>
        <v>31743</v>
      </c>
      <c r="N9" s="69">
        <f>I9+M9-G9</f>
        <v>-175685.57142857142</v>
      </c>
      <c r="O9" s="83">
        <f t="shared" si="3"/>
        <v>-176</v>
      </c>
    </row>
    <row r="10" spans="1:15" ht="15.75" x14ac:dyDescent="0.25">
      <c r="A10" s="61" t="s">
        <v>20</v>
      </c>
      <c r="B10" s="50">
        <v>6</v>
      </c>
      <c r="C10" s="50" t="s">
        <v>72</v>
      </c>
      <c r="D10" s="50">
        <v>2</v>
      </c>
      <c r="E10" s="69">
        <v>10000</v>
      </c>
      <c r="F10" s="69">
        <v>12</v>
      </c>
      <c r="G10" s="69">
        <f t="shared" si="0"/>
        <v>240000</v>
      </c>
      <c r="H10" s="69"/>
      <c r="I10" s="69">
        <f>I17/K15*K10</f>
        <v>195428.57142857142</v>
      </c>
      <c r="J10" s="69"/>
      <c r="K10" s="50">
        <f t="shared" si="1"/>
        <v>6</v>
      </c>
      <c r="L10" s="69">
        <f t="shared" si="2"/>
        <v>31743</v>
      </c>
      <c r="M10" s="69">
        <f t="shared" si="4"/>
        <v>190458</v>
      </c>
      <c r="N10" s="69">
        <f>I10+M10-G10</f>
        <v>145886.57142857142</v>
      </c>
      <c r="O10" s="83">
        <f t="shared" si="3"/>
        <v>146</v>
      </c>
    </row>
    <row r="11" spans="1:15" ht="15.75" x14ac:dyDescent="0.25">
      <c r="A11" s="50" t="s">
        <v>22</v>
      </c>
      <c r="B11" s="50">
        <v>1</v>
      </c>
      <c r="C11" s="50" t="s">
        <v>72</v>
      </c>
      <c r="D11" s="50">
        <v>2</v>
      </c>
      <c r="E11" s="69">
        <v>10000</v>
      </c>
      <c r="F11" s="69">
        <v>12</v>
      </c>
      <c r="G11" s="69">
        <f>D11*E11*F11</f>
        <v>240000</v>
      </c>
      <c r="H11" s="69"/>
      <c r="I11" s="69">
        <f>I17/K15*K11</f>
        <v>32571.428571428572</v>
      </c>
      <c r="J11" s="69"/>
      <c r="K11" s="50">
        <f t="shared" si="1"/>
        <v>1</v>
      </c>
      <c r="L11" s="69">
        <f t="shared" si="2"/>
        <v>31743</v>
      </c>
      <c r="M11" s="69">
        <f t="shared" si="4"/>
        <v>31743</v>
      </c>
      <c r="N11" s="69">
        <f>I11+M11-G11</f>
        <v>-175685.57142857142</v>
      </c>
      <c r="O11" s="83">
        <f t="shared" si="3"/>
        <v>-176</v>
      </c>
    </row>
    <row r="12" spans="1:15" ht="15.75" x14ac:dyDescent="0.25">
      <c r="A12" s="50" t="s">
        <v>23</v>
      </c>
      <c r="B12" s="50">
        <v>2</v>
      </c>
      <c r="C12" s="50" t="s">
        <v>120</v>
      </c>
      <c r="D12" s="50">
        <v>3</v>
      </c>
      <c r="E12" s="69">
        <v>20000</v>
      </c>
      <c r="F12" s="69">
        <v>12</v>
      </c>
      <c r="G12" s="69">
        <f>E12*F12</f>
        <v>240000</v>
      </c>
      <c r="H12" s="69"/>
      <c r="I12" s="69">
        <f>I17/K15*K12</f>
        <v>65142.857142857145</v>
      </c>
      <c r="J12" s="69"/>
      <c r="K12" s="50">
        <f t="shared" si="1"/>
        <v>2</v>
      </c>
      <c r="L12" s="69">
        <f t="shared" si="2"/>
        <v>31743</v>
      </c>
      <c r="M12" s="69">
        <f>K12*L12</f>
        <v>63486</v>
      </c>
      <c r="N12" s="69">
        <f>I12+M12-G12</f>
        <v>-111371.14285714286</v>
      </c>
      <c r="O12" s="83">
        <f t="shared" si="3"/>
        <v>-111</v>
      </c>
    </row>
    <row r="13" spans="1:15" ht="15.75" x14ac:dyDescent="0.25">
      <c r="A13" s="50"/>
      <c r="B13" s="50"/>
      <c r="C13" s="50"/>
      <c r="D13" s="50"/>
      <c r="E13" s="69"/>
      <c r="F13" s="69"/>
      <c r="G13" s="69"/>
      <c r="H13" s="69"/>
      <c r="I13" s="69"/>
      <c r="J13" s="69"/>
      <c r="K13" s="50"/>
      <c r="L13" s="69"/>
      <c r="M13" s="69"/>
      <c r="N13" s="69"/>
      <c r="O13" s="83"/>
    </row>
    <row r="14" spans="1:15" ht="15.75" x14ac:dyDescent="0.25">
      <c r="A14" s="50" t="s">
        <v>3</v>
      </c>
      <c r="B14" s="50">
        <v>60.25</v>
      </c>
      <c r="C14" s="50"/>
      <c r="D14" s="50"/>
      <c r="E14" s="50"/>
      <c r="F14" s="50"/>
      <c r="G14" s="69">
        <v>13377720</v>
      </c>
      <c r="H14" s="50"/>
      <c r="I14" s="69">
        <f>I17/K15*K14</f>
        <v>1962428.5714285716</v>
      </c>
      <c r="J14" s="69"/>
      <c r="K14" s="50">
        <f t="shared" si="1"/>
        <v>60.25</v>
      </c>
      <c r="L14" s="69">
        <f t="shared" si="2"/>
        <v>31743</v>
      </c>
      <c r="M14" s="69">
        <f>46.25*L14-10</f>
        <v>1468103.75</v>
      </c>
      <c r="N14" s="69">
        <f>I14+J14+M14-G14</f>
        <v>-9947187.6785714291</v>
      </c>
      <c r="O14" s="83">
        <f>ROUND(N14/1000,0)-1</f>
        <v>-9948</v>
      </c>
    </row>
    <row r="15" spans="1:15" ht="15.75" x14ac:dyDescent="0.25">
      <c r="A15" s="58" t="s">
        <v>73</v>
      </c>
      <c r="B15" s="59">
        <f>SUM(B4:B14)</f>
        <v>84</v>
      </c>
      <c r="C15" s="59"/>
      <c r="D15" s="59"/>
      <c r="E15" s="59"/>
      <c r="F15" s="59"/>
      <c r="G15" s="60">
        <f>SUM(G4:G14)</f>
        <v>15309000</v>
      </c>
      <c r="H15" s="59"/>
      <c r="I15" s="60">
        <f>SUM(I4:I14)</f>
        <v>2736000</v>
      </c>
      <c r="J15" s="60">
        <f>SUM(J4:J14)</f>
        <v>0</v>
      </c>
      <c r="K15" s="60">
        <f>SUM(K4:K14)</f>
        <v>84</v>
      </c>
      <c r="L15" s="59"/>
      <c r="M15" s="60">
        <f>SUM(M4:M14)</f>
        <v>2222000</v>
      </c>
      <c r="N15" s="60">
        <f>SUM(N4:N14)</f>
        <v>-10351000</v>
      </c>
      <c r="O15" s="79">
        <f t="shared" si="3"/>
        <v>-10351</v>
      </c>
    </row>
    <row r="16" spans="1:15" x14ac:dyDescent="0.25">
      <c r="N16" s="53"/>
    </row>
    <row r="17" spans="1:15" x14ac:dyDescent="0.25">
      <c r="G17" s="120">
        <v>15309000</v>
      </c>
      <c r="I17">
        <v>2736000</v>
      </c>
      <c r="K17">
        <f>SUM(K4:K14)</f>
        <v>84</v>
      </c>
      <c r="N17" s="120"/>
      <c r="O17" s="131">
        <f>N17+N15</f>
        <v>-10351000</v>
      </c>
    </row>
    <row r="18" spans="1:15" x14ac:dyDescent="0.25">
      <c r="G18" s="53"/>
      <c r="I18" s="53"/>
      <c r="J18" s="53"/>
      <c r="L18" t="s">
        <v>82</v>
      </c>
    </row>
    <row r="19" spans="1:15" x14ac:dyDescent="0.25">
      <c r="G19" s="120"/>
      <c r="L19" t="s">
        <v>83</v>
      </c>
      <c r="N19" s="53">
        <v>500000</v>
      </c>
    </row>
    <row r="20" spans="1:15" x14ac:dyDescent="0.25">
      <c r="G20" s="53">
        <f>G15-G22</f>
        <v>13377720</v>
      </c>
      <c r="I20" s="53">
        <f>SUM(I4:I14)</f>
        <v>2736000</v>
      </c>
      <c r="L20" t="s">
        <v>84</v>
      </c>
    </row>
    <row r="21" spans="1:15" x14ac:dyDescent="0.25">
      <c r="G21" t="s">
        <v>138</v>
      </c>
      <c r="K21">
        <f>SUM(K4:K12)</f>
        <v>23.75</v>
      </c>
      <c r="L21">
        <v>70</v>
      </c>
      <c r="M21">
        <v>24600</v>
      </c>
      <c r="N21" s="53">
        <f>L21*M21</f>
        <v>1722000</v>
      </c>
    </row>
    <row r="22" spans="1:15" x14ac:dyDescent="0.25">
      <c r="G22" s="53">
        <f>SUM(G4:G12)</f>
        <v>1931280</v>
      </c>
    </row>
    <row r="23" spans="1:15" x14ac:dyDescent="0.25">
      <c r="N23" s="53">
        <f>SUM(N19:N22)</f>
        <v>2222000</v>
      </c>
    </row>
    <row r="24" spans="1:15" x14ac:dyDescent="0.25">
      <c r="G24" s="53"/>
      <c r="L24" t="s">
        <v>85</v>
      </c>
    </row>
    <row r="25" spans="1:15" x14ac:dyDescent="0.25">
      <c r="A25" t="s">
        <v>103</v>
      </c>
      <c r="B25" t="s">
        <v>104</v>
      </c>
      <c r="L25" s="53">
        <f>N23</f>
        <v>2222000</v>
      </c>
      <c r="M25">
        <f>L21</f>
        <v>70</v>
      </c>
      <c r="N25" s="26">
        <f>ROUND(L25/M25,0)</f>
        <v>31743</v>
      </c>
    </row>
    <row r="26" spans="1:15" x14ac:dyDescent="0.25">
      <c r="B26" t="s">
        <v>105</v>
      </c>
      <c r="C26" s="53"/>
      <c r="E26" s="53"/>
    </row>
    <row r="27" spans="1:15" x14ac:dyDescent="0.25">
      <c r="C27" s="53"/>
      <c r="E27" s="53"/>
      <c r="L27" t="s">
        <v>87</v>
      </c>
    </row>
    <row r="28" spans="1:15" x14ac:dyDescent="0.25">
      <c r="L28" s="120">
        <v>2736000</v>
      </c>
      <c r="M28">
        <v>84</v>
      </c>
      <c r="N28" s="26">
        <f>ROUND(L28/M28,0)</f>
        <v>32571</v>
      </c>
    </row>
  </sheetData>
  <mergeCells count="1">
    <mergeCell ref="A1:N1"/>
  </mergeCells>
  <pageMargins left="0.7" right="0.7" top="0.75" bottom="0.75" header="0.3" footer="0.3"/>
  <pageSetup paperSize="9" scale="6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Tagok3.</vt:lpstr>
      <vt:lpstr>Házis.kiadás arányos feloszt.</vt:lpstr>
      <vt:lpstr>Jelzőrendsz.</vt:lpstr>
      <vt:lpstr>'Házis.kiadás arányos feloszt.'!Nyomtatási_terület</vt:lpstr>
      <vt:lpstr>Jelzőrendsz.!Nyomtatási_terület</vt:lpstr>
      <vt:lpstr>Tagok3.!Nyomtatási_terület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asp02</dc:creator>
  <cp:lastModifiedBy>Win10</cp:lastModifiedBy>
  <cp:lastPrinted>2024-01-25T09:36:30Z</cp:lastPrinted>
  <dcterms:created xsi:type="dcterms:W3CDTF">2018-01-22T06:46:51Z</dcterms:created>
  <dcterms:modified xsi:type="dcterms:W3CDTF">2024-01-25T09:51:33Z</dcterms:modified>
</cp:coreProperties>
</file>